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W:\Draft Content\3.0 Rates &amp; Statistics\New Sitefinity 3.0 Rates and Statistics\3.1 Banking System\"/>
    </mc:Choice>
  </mc:AlternateContent>
  <xr:revisionPtr revIDLastSave="0" documentId="13_ncr:1_{460F16F6-F52A-4FFD-B3CF-69D2657F36C5}" xr6:coauthVersionLast="47" xr6:coauthVersionMax="47" xr10:uidLastSave="{00000000-0000-0000-0000-000000000000}"/>
  <bookViews>
    <workbookView xWindow="-120" yWindow="-120" windowWidth="29040" windowHeight="15720" tabRatio="601" activeTab="1" xr2:uid="{00000000-000D-0000-FFFF-FFFF00000000}"/>
  </bookViews>
  <sheets>
    <sheet name="1977-2003" sheetId="6" r:id="rId1"/>
    <sheet name="2004-2024" sheetId="9" r:id="rId2"/>
    <sheet name="Notes" sheetId="11" r:id="rId3"/>
  </sheets>
  <definedNames>
    <definedName name="A" localSheetId="0">'1977-2003'!#REF!</definedName>
    <definedName name="A" localSheetId="1">'2004-2024'!#REF!</definedName>
    <definedName name="A">#REF!</definedName>
    <definedName name="D" localSheetId="0">'1977-2003'!#REF!</definedName>
    <definedName name="D" localSheetId="1">'2004-2024'!#REF!</definedName>
    <definedName name="D">#REF!</definedName>
    <definedName name="OLE_LINK3" localSheetId="2">Notes!$A$7</definedName>
    <definedName name="_xlnm.Print_Area" localSheetId="0">'1977-2003'!$A$1:$Q$269</definedName>
    <definedName name="_xlnm.Print_Area" localSheetId="1">'2004-2024'!$A$126:$Q$157</definedName>
    <definedName name="Print_Area_MI" localSheetId="0">'1977-2003'!#REF!</definedName>
    <definedName name="Print_Area_MI" localSheetId="1">'2004-2024'!#REF!</definedName>
    <definedName name="_xlnm.Print_Titles" localSheetId="0">'1977-2003'!$1:$8</definedName>
    <definedName name="_xlnm.Print_Titles" localSheetId="1">'2004-2024'!$1:$8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151" i="9" l="1"/>
  <c r="F151" i="9" l="1"/>
  <c r="K151" i="9" s="1"/>
  <c r="P151" i="9"/>
  <c r="Q151" i="9" l="1"/>
  <c r="P150" i="9"/>
  <c r="M150" i="9"/>
  <c r="F150" i="9" l="1"/>
  <c r="K150" i="9" s="1"/>
  <c r="Q150" i="9" s="1"/>
  <c r="P149" i="9"/>
  <c r="M149" i="9"/>
  <c r="F149" i="9"/>
  <c r="K149" i="9" s="1"/>
  <c r="Q149" i="9" l="1"/>
  <c r="P148" i="9"/>
  <c r="M148" i="9"/>
  <c r="F148" i="9"/>
  <c r="K148" i="9" s="1"/>
  <c r="Q148" i="9" l="1"/>
  <c r="P147" i="9"/>
  <c r="M147" i="9"/>
  <c r="F147" i="9"/>
  <c r="K147" i="9" s="1"/>
  <c r="P146" i="9"/>
  <c r="M146" i="9"/>
  <c r="F146" i="9"/>
  <c r="K146" i="9" s="1"/>
  <c r="Q147" i="9" l="1"/>
  <c r="Q146" i="9"/>
  <c r="M114" i="9"/>
  <c r="P114" i="9"/>
  <c r="P145" i="9" l="1"/>
  <c r="M145" i="9"/>
  <c r="F145" i="9"/>
  <c r="K145" i="9" s="1"/>
  <c r="Q145" i="9" l="1"/>
  <c r="F144" i="9"/>
  <c r="K144" i="9" s="1"/>
  <c r="M144" i="9" l="1"/>
  <c r="P144" i="9" l="1"/>
  <c r="Q144" i="9" s="1"/>
  <c r="P143" i="9" l="1"/>
  <c r="M143" i="9"/>
  <c r="F143" i="9"/>
  <c r="K143" i="9" s="1"/>
  <c r="P20" i="6"/>
  <c r="Q20" i="6" s="1"/>
  <c r="N35" i="6"/>
  <c r="O35" i="6" s="1"/>
  <c r="D35" i="6"/>
  <c r="F35" i="6" s="1"/>
  <c r="N34" i="6"/>
  <c r="O34" i="6" s="1"/>
  <c r="K34" i="6"/>
  <c r="F34" i="6"/>
  <c r="N33" i="6"/>
  <c r="O33" i="6" s="1"/>
  <c r="K33" i="6"/>
  <c r="F33" i="6"/>
  <c r="N32" i="6"/>
  <c r="O32" i="6" s="1"/>
  <c r="K32" i="6"/>
  <c r="F32" i="6"/>
  <c r="N30" i="6"/>
  <c r="O30" i="6" s="1"/>
  <c r="D30" i="6"/>
  <c r="F30" i="6" s="1"/>
  <c r="N29" i="6"/>
  <c r="O29" i="6" s="1"/>
  <c r="K29" i="6"/>
  <c r="N28" i="6"/>
  <c r="O28" i="6" s="1"/>
  <c r="K28" i="6"/>
  <c r="N27" i="6"/>
  <c r="O27" i="6" s="1"/>
  <c r="K27" i="6"/>
  <c r="N25" i="6"/>
  <c r="O25" i="6" s="1"/>
  <c r="K25" i="6"/>
  <c r="N24" i="6"/>
  <c r="O24" i="6" s="1"/>
  <c r="K24" i="6"/>
  <c r="N23" i="6"/>
  <c r="O23" i="6" s="1"/>
  <c r="K23" i="6"/>
  <c r="N22" i="6"/>
  <c r="O22" i="6" s="1"/>
  <c r="K22" i="6"/>
  <c r="N18" i="6"/>
  <c r="K18" i="6"/>
  <c r="F18" i="6"/>
  <c r="J18" i="6" s="1"/>
  <c r="N16" i="6"/>
  <c r="K16" i="6"/>
  <c r="F16" i="6"/>
  <c r="J16" i="6" s="1"/>
  <c r="N14" i="6"/>
  <c r="K14" i="6"/>
  <c r="F14" i="6"/>
  <c r="J14" i="6" s="1"/>
  <c r="N12" i="6"/>
  <c r="K12" i="6"/>
  <c r="F12" i="6"/>
  <c r="J12" i="6" s="1"/>
  <c r="N10" i="6"/>
  <c r="K10" i="6"/>
  <c r="F10" i="6"/>
  <c r="J10" i="6" s="1"/>
  <c r="Q143" i="9" l="1"/>
  <c r="O18" i="6"/>
  <c r="P18" i="6" s="1"/>
  <c r="Q18" i="6" s="1"/>
  <c r="O10" i="6"/>
  <c r="P10" i="6" s="1"/>
  <c r="Q10" i="6" s="1"/>
  <c r="P28" i="6"/>
  <c r="Q28" i="6" s="1"/>
  <c r="P34" i="6"/>
  <c r="Q34" i="6" s="1"/>
  <c r="O16" i="6"/>
  <c r="P16" i="6" s="1"/>
  <c r="Q16" i="6" s="1"/>
  <c r="P23" i="6"/>
  <c r="Q23" i="6" s="1"/>
  <c r="P22" i="6"/>
  <c r="Q22" i="6" s="1"/>
  <c r="P33" i="6"/>
  <c r="Q33" i="6" s="1"/>
  <c r="P24" i="6"/>
  <c r="Q24" i="6" s="1"/>
  <c r="P32" i="6"/>
  <c r="Q32" i="6" s="1"/>
  <c r="P25" i="6"/>
  <c r="Q25" i="6" s="1"/>
  <c r="P27" i="6"/>
  <c r="Q27" i="6" s="1"/>
  <c r="P35" i="6"/>
  <c r="Q35" i="6" s="1"/>
  <c r="P29" i="6"/>
  <c r="Q29" i="6" s="1"/>
  <c r="P30" i="6"/>
  <c r="Q30" i="6" s="1"/>
  <c r="O12" i="6"/>
  <c r="O14" i="6"/>
  <c r="P14" i="6" s="1"/>
  <c r="Q14" i="6" s="1"/>
  <c r="M142" i="9"/>
  <c r="F142" i="9" l="1"/>
  <c r="K142" i="9" s="1"/>
  <c r="P142" i="9"/>
  <c r="Q142" i="9" l="1"/>
  <c r="M141" i="9"/>
  <c r="M140" i="9"/>
  <c r="F141" i="9"/>
  <c r="F140" i="9"/>
  <c r="P140" i="9" l="1"/>
  <c r="P141" i="9"/>
  <c r="K140" i="9"/>
  <c r="K141" i="9"/>
  <c r="M138" i="9"/>
  <c r="M137" i="9"/>
  <c r="P138" i="9"/>
  <c r="F138" i="9"/>
  <c r="F137" i="9"/>
  <c r="K137" i="9" s="1"/>
  <c r="P137" i="9"/>
  <c r="P136" i="9"/>
  <c r="F136" i="9"/>
  <c r="K136" i="9" s="1"/>
  <c r="M136" i="9"/>
  <c r="P135" i="9"/>
  <c r="M135" i="9"/>
  <c r="F135" i="9"/>
  <c r="K135" i="9" s="1"/>
  <c r="P134" i="9"/>
  <c r="M134" i="9"/>
  <c r="F134" i="9"/>
  <c r="K134" i="9" s="1"/>
  <c r="P133" i="9"/>
  <c r="M133" i="9"/>
  <c r="F133" i="9"/>
  <c r="K133" i="9" s="1"/>
  <c r="M125" i="9"/>
  <c r="M23" i="9"/>
  <c r="M24" i="9"/>
  <c r="M25" i="9"/>
  <c r="M26" i="9"/>
  <c r="M27" i="9"/>
  <c r="M28" i="9"/>
  <c r="M29" i="9"/>
  <c r="M30" i="9"/>
  <c r="M31" i="9"/>
  <c r="M32" i="9"/>
  <c r="M33" i="9"/>
  <c r="M34" i="9"/>
  <c r="M36" i="9"/>
  <c r="M37" i="9"/>
  <c r="M38" i="9"/>
  <c r="M39" i="9"/>
  <c r="M40" i="9"/>
  <c r="M41" i="9"/>
  <c r="M42" i="9"/>
  <c r="M43" i="9"/>
  <c r="M44" i="9"/>
  <c r="M45" i="9"/>
  <c r="M46" i="9"/>
  <c r="M47" i="9"/>
  <c r="M49" i="9"/>
  <c r="M50" i="9"/>
  <c r="M51" i="9"/>
  <c r="M52" i="9"/>
  <c r="M53" i="9"/>
  <c r="M54" i="9"/>
  <c r="M55" i="9"/>
  <c r="M56" i="9"/>
  <c r="M57" i="9"/>
  <c r="M58" i="9"/>
  <c r="M59" i="9"/>
  <c r="M60" i="9"/>
  <c r="M62" i="9"/>
  <c r="M63" i="9"/>
  <c r="M64" i="9"/>
  <c r="M65" i="9"/>
  <c r="M66" i="9"/>
  <c r="M67" i="9"/>
  <c r="M68" i="9"/>
  <c r="M69" i="9"/>
  <c r="M70" i="9"/>
  <c r="M71" i="9"/>
  <c r="M72" i="9"/>
  <c r="M73" i="9"/>
  <c r="M75" i="9"/>
  <c r="M76" i="9"/>
  <c r="M77" i="9"/>
  <c r="M78" i="9"/>
  <c r="M79" i="9"/>
  <c r="M80" i="9"/>
  <c r="M81" i="9"/>
  <c r="M82" i="9"/>
  <c r="M83" i="9"/>
  <c r="M84" i="9"/>
  <c r="M85" i="9"/>
  <c r="M86" i="9"/>
  <c r="M99" i="9"/>
  <c r="M98" i="9"/>
  <c r="M97" i="9"/>
  <c r="M96" i="9"/>
  <c r="M95" i="9"/>
  <c r="M94" i="9"/>
  <c r="M93" i="9"/>
  <c r="M92" i="9"/>
  <c r="M91" i="9"/>
  <c r="M90" i="9"/>
  <c r="M89" i="9"/>
  <c r="M88" i="9"/>
  <c r="M112" i="9"/>
  <c r="M115" i="9"/>
  <c r="M116" i="9"/>
  <c r="M117" i="9"/>
  <c r="M118" i="9"/>
  <c r="M119" i="9"/>
  <c r="M120" i="9"/>
  <c r="M121" i="9"/>
  <c r="M122" i="9"/>
  <c r="M123" i="9"/>
  <c r="M124" i="9"/>
  <c r="M101" i="9"/>
  <c r="P132" i="9"/>
  <c r="M132" i="9"/>
  <c r="F132" i="9"/>
  <c r="K132" i="9" s="1"/>
  <c r="P131" i="9"/>
  <c r="M131" i="9"/>
  <c r="F131" i="9"/>
  <c r="K131" i="9" s="1"/>
  <c r="P130" i="9"/>
  <c r="M130" i="9"/>
  <c r="F130" i="9"/>
  <c r="K130" i="9" s="1"/>
  <c r="P129" i="9"/>
  <c r="M129" i="9"/>
  <c r="F129" i="9"/>
  <c r="K129" i="9" s="1"/>
  <c r="P128" i="9"/>
  <c r="M128" i="9"/>
  <c r="F128" i="9"/>
  <c r="K128" i="9" s="1"/>
  <c r="P127" i="9"/>
  <c r="M127" i="9"/>
  <c r="F127" i="9"/>
  <c r="K127" i="9" s="1"/>
  <c r="P125" i="9"/>
  <c r="F125" i="9"/>
  <c r="K125" i="9" s="1"/>
  <c r="F124" i="9"/>
  <c r="K124" i="9" s="1"/>
  <c r="P124" i="9"/>
  <c r="P123" i="9"/>
  <c r="F123" i="9"/>
  <c r="K123" i="9" s="1"/>
  <c r="P122" i="9"/>
  <c r="F122" i="9"/>
  <c r="K122" i="9" s="1"/>
  <c r="P121" i="9"/>
  <c r="F121" i="9"/>
  <c r="K121" i="9" s="1"/>
  <c r="P120" i="9"/>
  <c r="F120" i="9"/>
  <c r="K120" i="9" s="1"/>
  <c r="P119" i="9"/>
  <c r="F119" i="9"/>
  <c r="K119" i="9" s="1"/>
  <c r="P118" i="9"/>
  <c r="F118" i="9"/>
  <c r="K118" i="9" s="1"/>
  <c r="P117" i="9"/>
  <c r="F117" i="9"/>
  <c r="K117" i="9" s="1"/>
  <c r="P116" i="9"/>
  <c r="F116" i="9"/>
  <c r="K116" i="9" s="1"/>
  <c r="P115" i="9"/>
  <c r="F115" i="9"/>
  <c r="K115" i="9" s="1"/>
  <c r="F114" i="9"/>
  <c r="K114" i="9" s="1"/>
  <c r="Q114" i="9" s="1"/>
  <c r="P112" i="9"/>
  <c r="F112" i="9"/>
  <c r="K112" i="9" s="1"/>
  <c r="F111" i="9"/>
  <c r="K111" i="9" s="1"/>
  <c r="P111" i="9"/>
  <c r="M111" i="9"/>
  <c r="P110" i="9"/>
  <c r="M110" i="9"/>
  <c r="F110" i="9"/>
  <c r="K110" i="9" s="1"/>
  <c r="P109" i="9"/>
  <c r="M109" i="9"/>
  <c r="F109" i="9"/>
  <c r="K109" i="9" s="1"/>
  <c r="P108" i="9"/>
  <c r="M108" i="9"/>
  <c r="F108" i="9"/>
  <c r="K108" i="9" s="1"/>
  <c r="P107" i="9"/>
  <c r="M107" i="9"/>
  <c r="F107" i="9"/>
  <c r="K107" i="9" s="1"/>
  <c r="P104" i="9"/>
  <c r="P105" i="9"/>
  <c r="P106" i="9"/>
  <c r="M104" i="9"/>
  <c r="M105" i="9"/>
  <c r="M106" i="9"/>
  <c r="F104" i="9"/>
  <c r="K104" i="9" s="1"/>
  <c r="F105" i="9"/>
  <c r="K105" i="9" s="1"/>
  <c r="F106" i="9"/>
  <c r="K106" i="9" s="1"/>
  <c r="P60" i="9"/>
  <c r="F60" i="9"/>
  <c r="K60" i="9" s="1"/>
  <c r="P59" i="9"/>
  <c r="F59" i="9"/>
  <c r="K59" i="9" s="1"/>
  <c r="P58" i="9"/>
  <c r="F58" i="9"/>
  <c r="K58" i="9" s="1"/>
  <c r="P57" i="9"/>
  <c r="F57" i="9"/>
  <c r="K57" i="9" s="1"/>
  <c r="P56" i="9"/>
  <c r="F56" i="9"/>
  <c r="K56" i="9" s="1"/>
  <c r="P55" i="9"/>
  <c r="F55" i="9"/>
  <c r="K55" i="9" s="1"/>
  <c r="P54" i="9"/>
  <c r="F54" i="9"/>
  <c r="K54" i="9" s="1"/>
  <c r="P53" i="9"/>
  <c r="F53" i="9"/>
  <c r="K53" i="9" s="1"/>
  <c r="P52" i="9"/>
  <c r="F52" i="9"/>
  <c r="K52" i="9" s="1"/>
  <c r="P51" i="9"/>
  <c r="F51" i="9"/>
  <c r="K51" i="9" s="1"/>
  <c r="P50" i="9"/>
  <c r="F50" i="9"/>
  <c r="K50" i="9" s="1"/>
  <c r="P49" i="9"/>
  <c r="F49" i="9"/>
  <c r="K49" i="9" s="1"/>
  <c r="P47" i="9"/>
  <c r="F47" i="9"/>
  <c r="K47" i="9" s="1"/>
  <c r="P46" i="9"/>
  <c r="F46" i="9"/>
  <c r="K46" i="9" s="1"/>
  <c r="P45" i="9"/>
  <c r="F45" i="9"/>
  <c r="K45" i="9" s="1"/>
  <c r="P44" i="9"/>
  <c r="F44" i="9"/>
  <c r="K44" i="9" s="1"/>
  <c r="P43" i="9"/>
  <c r="F43" i="9"/>
  <c r="K43" i="9" s="1"/>
  <c r="P42" i="9"/>
  <c r="F42" i="9"/>
  <c r="K42" i="9" s="1"/>
  <c r="P41" i="9"/>
  <c r="F41" i="9"/>
  <c r="K41" i="9" s="1"/>
  <c r="P40" i="9"/>
  <c r="F40" i="9"/>
  <c r="K40" i="9" s="1"/>
  <c r="P39" i="9"/>
  <c r="F39" i="9"/>
  <c r="K39" i="9" s="1"/>
  <c r="P38" i="9"/>
  <c r="F38" i="9"/>
  <c r="K38" i="9" s="1"/>
  <c r="P37" i="9"/>
  <c r="F37" i="9"/>
  <c r="K37" i="9" s="1"/>
  <c r="P36" i="9"/>
  <c r="F36" i="9"/>
  <c r="K36" i="9" s="1"/>
  <c r="P34" i="9"/>
  <c r="F34" i="9"/>
  <c r="K34" i="9" s="1"/>
  <c r="P33" i="9"/>
  <c r="F33" i="9"/>
  <c r="K33" i="9" s="1"/>
  <c r="P32" i="9"/>
  <c r="F32" i="9"/>
  <c r="K32" i="9" s="1"/>
  <c r="P31" i="9"/>
  <c r="F31" i="9"/>
  <c r="K31" i="9" s="1"/>
  <c r="P30" i="9"/>
  <c r="F30" i="9"/>
  <c r="K30" i="9" s="1"/>
  <c r="P29" i="9"/>
  <c r="F29" i="9"/>
  <c r="K29" i="9" s="1"/>
  <c r="P28" i="9"/>
  <c r="F28" i="9"/>
  <c r="K28" i="9" s="1"/>
  <c r="P27" i="9"/>
  <c r="F27" i="9"/>
  <c r="K27" i="9" s="1"/>
  <c r="P26" i="9"/>
  <c r="F26" i="9"/>
  <c r="K26" i="9" s="1"/>
  <c r="P25" i="9"/>
  <c r="F25" i="9"/>
  <c r="K25" i="9" s="1"/>
  <c r="P24" i="9"/>
  <c r="F24" i="9"/>
  <c r="K24" i="9" s="1"/>
  <c r="P23" i="9"/>
  <c r="F23" i="9"/>
  <c r="K23" i="9" s="1"/>
  <c r="P21" i="9"/>
  <c r="M21" i="9"/>
  <c r="F21" i="9"/>
  <c r="K21" i="9" s="1"/>
  <c r="P20" i="9"/>
  <c r="M20" i="9"/>
  <c r="F20" i="9"/>
  <c r="K20" i="9" s="1"/>
  <c r="P19" i="9"/>
  <c r="M19" i="9"/>
  <c r="F19" i="9"/>
  <c r="K19" i="9" s="1"/>
  <c r="P18" i="9"/>
  <c r="M18" i="9"/>
  <c r="F18" i="9"/>
  <c r="K18" i="9" s="1"/>
  <c r="P17" i="9"/>
  <c r="M17" i="9"/>
  <c r="F17" i="9"/>
  <c r="K17" i="9" s="1"/>
  <c r="P16" i="9"/>
  <c r="M16" i="9"/>
  <c r="F16" i="9"/>
  <c r="K16" i="9" s="1"/>
  <c r="P15" i="9"/>
  <c r="M15" i="9"/>
  <c r="F15" i="9"/>
  <c r="K15" i="9" s="1"/>
  <c r="P14" i="9"/>
  <c r="M14" i="9"/>
  <c r="F14" i="9"/>
  <c r="K14" i="9" s="1"/>
  <c r="P13" i="9"/>
  <c r="M13" i="9"/>
  <c r="F13" i="9"/>
  <c r="K13" i="9" s="1"/>
  <c r="P12" i="9"/>
  <c r="M12" i="9"/>
  <c r="F12" i="9"/>
  <c r="K12" i="9" s="1"/>
  <c r="P11" i="9"/>
  <c r="M11" i="9"/>
  <c r="F11" i="9"/>
  <c r="K11" i="9" s="1"/>
  <c r="P10" i="9"/>
  <c r="M10" i="9"/>
  <c r="F10" i="9"/>
  <c r="K10" i="9" s="1"/>
  <c r="P103" i="9"/>
  <c r="M103" i="9"/>
  <c r="F103" i="9"/>
  <c r="K103" i="9" s="1"/>
  <c r="P102" i="9"/>
  <c r="M102" i="9"/>
  <c r="F102" i="9"/>
  <c r="K102" i="9" s="1"/>
  <c r="P101" i="9"/>
  <c r="F101" i="9"/>
  <c r="K101" i="9" s="1"/>
  <c r="P269" i="6"/>
  <c r="M269" i="6"/>
  <c r="F269" i="6"/>
  <c r="L269" i="6" s="1"/>
  <c r="P268" i="6"/>
  <c r="M268" i="6"/>
  <c r="F268" i="6"/>
  <c r="L268" i="6" s="1"/>
  <c r="P267" i="6"/>
  <c r="M267" i="6"/>
  <c r="F267" i="6"/>
  <c r="L267" i="6" s="1"/>
  <c r="P266" i="6"/>
  <c r="M266" i="6"/>
  <c r="F266" i="6"/>
  <c r="L266" i="6" s="1"/>
  <c r="P265" i="6"/>
  <c r="M265" i="6"/>
  <c r="F265" i="6"/>
  <c r="L265" i="6" s="1"/>
  <c r="P264" i="6"/>
  <c r="M264" i="6"/>
  <c r="F264" i="6"/>
  <c r="L264" i="6" s="1"/>
  <c r="P263" i="6"/>
  <c r="M263" i="6"/>
  <c r="F263" i="6"/>
  <c r="L263" i="6" s="1"/>
  <c r="P262" i="6"/>
  <c r="M262" i="6"/>
  <c r="F262" i="6"/>
  <c r="L262" i="6" s="1"/>
  <c r="P261" i="6"/>
  <c r="M261" i="6"/>
  <c r="F261" i="6"/>
  <c r="L261" i="6" s="1"/>
  <c r="P260" i="6"/>
  <c r="M260" i="6"/>
  <c r="F260" i="6"/>
  <c r="L260" i="6" s="1"/>
  <c r="P259" i="6"/>
  <c r="M259" i="6"/>
  <c r="F259" i="6"/>
  <c r="L259" i="6" s="1"/>
  <c r="P258" i="6"/>
  <c r="M258" i="6"/>
  <c r="F258" i="6"/>
  <c r="L258" i="6" s="1"/>
  <c r="P256" i="6"/>
  <c r="M256" i="6"/>
  <c r="F256" i="6"/>
  <c r="L256" i="6" s="1"/>
  <c r="P255" i="6"/>
  <c r="M255" i="6"/>
  <c r="F255" i="6"/>
  <c r="L255" i="6" s="1"/>
  <c r="P254" i="6"/>
  <c r="M254" i="6"/>
  <c r="F254" i="6"/>
  <c r="L254" i="6" s="1"/>
  <c r="P253" i="6"/>
  <c r="M253" i="6"/>
  <c r="F253" i="6"/>
  <c r="L253" i="6" s="1"/>
  <c r="P252" i="6"/>
  <c r="M252" i="6"/>
  <c r="F252" i="6"/>
  <c r="L252" i="6" s="1"/>
  <c r="P251" i="6"/>
  <c r="M251" i="6"/>
  <c r="F251" i="6"/>
  <c r="L251" i="6" s="1"/>
  <c r="P250" i="6"/>
  <c r="M250" i="6"/>
  <c r="F250" i="6"/>
  <c r="L250" i="6" s="1"/>
  <c r="P249" i="6"/>
  <c r="M249" i="6"/>
  <c r="F249" i="6"/>
  <c r="L249" i="6" s="1"/>
  <c r="P248" i="6"/>
  <c r="M248" i="6"/>
  <c r="F248" i="6"/>
  <c r="L248" i="6" s="1"/>
  <c r="P247" i="6"/>
  <c r="M247" i="6"/>
  <c r="F247" i="6"/>
  <c r="L247" i="6" s="1"/>
  <c r="P246" i="6"/>
  <c r="M246" i="6"/>
  <c r="F246" i="6"/>
  <c r="L246" i="6" s="1"/>
  <c r="P245" i="6"/>
  <c r="M245" i="6"/>
  <c r="F245" i="6"/>
  <c r="L245" i="6" s="1"/>
  <c r="P243" i="6"/>
  <c r="M243" i="6"/>
  <c r="F243" i="6"/>
  <c r="L243" i="6" s="1"/>
  <c r="P242" i="6"/>
  <c r="M242" i="6"/>
  <c r="F242" i="6"/>
  <c r="L242" i="6" s="1"/>
  <c r="P241" i="6"/>
  <c r="M241" i="6"/>
  <c r="F241" i="6"/>
  <c r="L241" i="6" s="1"/>
  <c r="P240" i="6"/>
  <c r="M240" i="6"/>
  <c r="F240" i="6"/>
  <c r="L240" i="6" s="1"/>
  <c r="P239" i="6"/>
  <c r="M239" i="6"/>
  <c r="F239" i="6"/>
  <c r="L239" i="6" s="1"/>
  <c r="P238" i="6"/>
  <c r="M238" i="6"/>
  <c r="F238" i="6"/>
  <c r="L238" i="6" s="1"/>
  <c r="P237" i="6"/>
  <c r="M237" i="6"/>
  <c r="F237" i="6"/>
  <c r="L237" i="6" s="1"/>
  <c r="P236" i="6"/>
  <c r="M236" i="6"/>
  <c r="F236" i="6"/>
  <c r="L236" i="6" s="1"/>
  <c r="P235" i="6"/>
  <c r="M235" i="6"/>
  <c r="F235" i="6"/>
  <c r="L235" i="6" s="1"/>
  <c r="P234" i="6"/>
  <c r="M234" i="6"/>
  <c r="F234" i="6"/>
  <c r="L234" i="6" s="1"/>
  <c r="P233" i="6"/>
  <c r="M233" i="6"/>
  <c r="F233" i="6"/>
  <c r="L233" i="6" s="1"/>
  <c r="P232" i="6"/>
  <c r="M232" i="6"/>
  <c r="F232" i="6"/>
  <c r="L232" i="6" s="1"/>
  <c r="P230" i="6"/>
  <c r="D230" i="6"/>
  <c r="P229" i="6"/>
  <c r="D229" i="6"/>
  <c r="M229" i="6" s="1"/>
  <c r="P228" i="6"/>
  <c r="D228" i="6"/>
  <c r="M228" i="6" s="1"/>
  <c r="P227" i="6"/>
  <c r="M227" i="6"/>
  <c r="F227" i="6"/>
  <c r="L227" i="6" s="1"/>
  <c r="P226" i="6"/>
  <c r="M226" i="6"/>
  <c r="F226" i="6"/>
  <c r="L226" i="6" s="1"/>
  <c r="P225" i="6"/>
  <c r="M225" i="6"/>
  <c r="F225" i="6"/>
  <c r="L225" i="6" s="1"/>
  <c r="P224" i="6"/>
  <c r="M224" i="6"/>
  <c r="F224" i="6"/>
  <c r="L224" i="6" s="1"/>
  <c r="P223" i="6"/>
  <c r="M223" i="6"/>
  <c r="F223" i="6"/>
  <c r="L223" i="6" s="1"/>
  <c r="P222" i="6"/>
  <c r="M222" i="6"/>
  <c r="F222" i="6"/>
  <c r="L222" i="6" s="1"/>
  <c r="P221" i="6"/>
  <c r="M221" i="6"/>
  <c r="F221" i="6"/>
  <c r="L221" i="6" s="1"/>
  <c r="P220" i="6"/>
  <c r="M220" i="6"/>
  <c r="F220" i="6"/>
  <c r="L220" i="6" s="1"/>
  <c r="P219" i="6"/>
  <c r="M219" i="6"/>
  <c r="F219" i="6"/>
  <c r="L219" i="6" s="1"/>
  <c r="P217" i="6"/>
  <c r="M217" i="6"/>
  <c r="F217" i="6"/>
  <c r="L217" i="6" s="1"/>
  <c r="P216" i="6"/>
  <c r="M216" i="6"/>
  <c r="F216" i="6"/>
  <c r="L216" i="6" s="1"/>
  <c r="P215" i="6"/>
  <c r="M215" i="6"/>
  <c r="F215" i="6"/>
  <c r="L215" i="6" s="1"/>
  <c r="P214" i="6"/>
  <c r="M214" i="6"/>
  <c r="F214" i="6"/>
  <c r="L214" i="6" s="1"/>
  <c r="P213" i="6"/>
  <c r="M213" i="6"/>
  <c r="F213" i="6"/>
  <c r="L213" i="6" s="1"/>
  <c r="P212" i="6"/>
  <c r="M212" i="6"/>
  <c r="F212" i="6"/>
  <c r="L212" i="6" s="1"/>
  <c r="P211" i="6"/>
  <c r="M211" i="6"/>
  <c r="F211" i="6"/>
  <c r="L211" i="6" s="1"/>
  <c r="P210" i="6"/>
  <c r="M210" i="6"/>
  <c r="F210" i="6"/>
  <c r="L210" i="6" s="1"/>
  <c r="P209" i="6"/>
  <c r="M209" i="6"/>
  <c r="F209" i="6"/>
  <c r="L209" i="6" s="1"/>
  <c r="P208" i="6"/>
  <c r="M208" i="6"/>
  <c r="F208" i="6"/>
  <c r="L208" i="6" s="1"/>
  <c r="P207" i="6"/>
  <c r="M207" i="6"/>
  <c r="F207" i="6"/>
  <c r="L207" i="6" s="1"/>
  <c r="P206" i="6"/>
  <c r="M206" i="6"/>
  <c r="F206" i="6"/>
  <c r="L206" i="6" s="1"/>
  <c r="P204" i="6"/>
  <c r="M204" i="6"/>
  <c r="F204" i="6"/>
  <c r="L204" i="6" s="1"/>
  <c r="P203" i="6"/>
  <c r="M203" i="6"/>
  <c r="F203" i="6"/>
  <c r="L203" i="6" s="1"/>
  <c r="P202" i="6"/>
  <c r="M202" i="6"/>
  <c r="F202" i="6"/>
  <c r="L202" i="6" s="1"/>
  <c r="P201" i="6"/>
  <c r="M201" i="6"/>
  <c r="F201" i="6"/>
  <c r="L201" i="6" s="1"/>
  <c r="P200" i="6"/>
  <c r="M200" i="6"/>
  <c r="F200" i="6"/>
  <c r="L200" i="6" s="1"/>
  <c r="P199" i="6"/>
  <c r="M199" i="6"/>
  <c r="F199" i="6"/>
  <c r="L199" i="6" s="1"/>
  <c r="P198" i="6"/>
  <c r="M198" i="6"/>
  <c r="F198" i="6"/>
  <c r="L198" i="6" s="1"/>
  <c r="P197" i="6"/>
  <c r="M197" i="6"/>
  <c r="F197" i="6"/>
  <c r="L197" i="6" s="1"/>
  <c r="P196" i="6"/>
  <c r="M196" i="6"/>
  <c r="F196" i="6"/>
  <c r="L196" i="6" s="1"/>
  <c r="P195" i="6"/>
  <c r="M195" i="6"/>
  <c r="F195" i="6"/>
  <c r="L195" i="6" s="1"/>
  <c r="P194" i="6"/>
  <c r="M194" i="6"/>
  <c r="L194" i="6"/>
  <c r="P193" i="6"/>
  <c r="M193" i="6"/>
  <c r="F193" i="6"/>
  <c r="L193" i="6" s="1"/>
  <c r="P191" i="6"/>
  <c r="M191" i="6"/>
  <c r="F191" i="6"/>
  <c r="L191" i="6" s="1"/>
  <c r="P190" i="6"/>
  <c r="M190" i="6"/>
  <c r="F190" i="6"/>
  <c r="L190" i="6" s="1"/>
  <c r="P189" i="6"/>
  <c r="M189" i="6"/>
  <c r="F189" i="6"/>
  <c r="L189" i="6" s="1"/>
  <c r="P188" i="6"/>
  <c r="M188" i="6"/>
  <c r="F188" i="6"/>
  <c r="L188" i="6" s="1"/>
  <c r="P187" i="6"/>
  <c r="M187" i="6"/>
  <c r="F187" i="6"/>
  <c r="L187" i="6" s="1"/>
  <c r="P186" i="6"/>
  <c r="M186" i="6"/>
  <c r="F186" i="6"/>
  <c r="L186" i="6" s="1"/>
  <c r="P185" i="6"/>
  <c r="M185" i="6"/>
  <c r="F185" i="6"/>
  <c r="L185" i="6" s="1"/>
  <c r="P184" i="6"/>
  <c r="M184" i="6"/>
  <c r="F184" i="6"/>
  <c r="L184" i="6" s="1"/>
  <c r="P183" i="6"/>
  <c r="M183" i="6"/>
  <c r="F183" i="6"/>
  <c r="L183" i="6" s="1"/>
  <c r="P182" i="6"/>
  <c r="M182" i="6"/>
  <c r="F182" i="6"/>
  <c r="L182" i="6" s="1"/>
  <c r="P181" i="6"/>
  <c r="M181" i="6"/>
  <c r="L181" i="6"/>
  <c r="P180" i="6"/>
  <c r="M180" i="6"/>
  <c r="F180" i="6"/>
  <c r="L180" i="6" s="1"/>
  <c r="P178" i="6"/>
  <c r="M178" i="6"/>
  <c r="F178" i="6"/>
  <c r="L178" i="6" s="1"/>
  <c r="P177" i="6"/>
  <c r="M177" i="6"/>
  <c r="F177" i="6"/>
  <c r="L177" i="6" s="1"/>
  <c r="P176" i="6"/>
  <c r="M176" i="6"/>
  <c r="F176" i="6"/>
  <c r="L176" i="6" s="1"/>
  <c r="P175" i="6"/>
  <c r="M175" i="6"/>
  <c r="F175" i="6"/>
  <c r="L175" i="6" s="1"/>
  <c r="P174" i="6"/>
  <c r="M174" i="6"/>
  <c r="F174" i="6"/>
  <c r="L174" i="6" s="1"/>
  <c r="P173" i="6"/>
  <c r="M173" i="6"/>
  <c r="F173" i="6"/>
  <c r="L173" i="6" s="1"/>
  <c r="P172" i="6"/>
  <c r="M172" i="6"/>
  <c r="F172" i="6"/>
  <c r="L172" i="6" s="1"/>
  <c r="P171" i="6"/>
  <c r="M171" i="6"/>
  <c r="F171" i="6"/>
  <c r="L171" i="6" s="1"/>
  <c r="P170" i="6"/>
  <c r="M170" i="6"/>
  <c r="F170" i="6"/>
  <c r="L170" i="6" s="1"/>
  <c r="P169" i="6"/>
  <c r="M169" i="6"/>
  <c r="F169" i="6"/>
  <c r="L169" i="6" s="1"/>
  <c r="P168" i="6"/>
  <c r="M168" i="6"/>
  <c r="F168" i="6"/>
  <c r="L168" i="6" s="1"/>
  <c r="P167" i="6"/>
  <c r="M167" i="6"/>
  <c r="F167" i="6"/>
  <c r="L167" i="6" s="1"/>
  <c r="P165" i="6"/>
  <c r="E165" i="6"/>
  <c r="D165" i="6"/>
  <c r="M165" i="6" s="1"/>
  <c r="P164" i="6"/>
  <c r="E164" i="6"/>
  <c r="D164" i="6"/>
  <c r="M164" i="6" s="1"/>
  <c r="P163" i="6"/>
  <c r="E163" i="6"/>
  <c r="D163" i="6"/>
  <c r="P162" i="6"/>
  <c r="E162" i="6"/>
  <c r="D162" i="6"/>
  <c r="M162" i="6" s="1"/>
  <c r="P161" i="6"/>
  <c r="E161" i="6"/>
  <c r="D161" i="6"/>
  <c r="P160" i="6"/>
  <c r="E160" i="6"/>
  <c r="D160" i="6"/>
  <c r="M160" i="6" s="1"/>
  <c r="P159" i="6"/>
  <c r="E159" i="6"/>
  <c r="D159" i="6"/>
  <c r="M159" i="6" s="1"/>
  <c r="P158" i="6"/>
  <c r="E158" i="6"/>
  <c r="D158" i="6"/>
  <c r="M158" i="6" s="1"/>
  <c r="P157" i="6"/>
  <c r="E157" i="6"/>
  <c r="D157" i="6"/>
  <c r="P156" i="6"/>
  <c r="E156" i="6"/>
  <c r="D156" i="6"/>
  <c r="P155" i="6"/>
  <c r="E155" i="6"/>
  <c r="D155" i="6"/>
  <c r="P154" i="6"/>
  <c r="E154" i="6"/>
  <c r="D154" i="6"/>
  <c r="P152" i="6"/>
  <c r="E152" i="6"/>
  <c r="D152" i="6"/>
  <c r="M152" i="6" s="1"/>
  <c r="P151" i="6"/>
  <c r="E151" i="6"/>
  <c r="D151" i="6"/>
  <c r="P150" i="6"/>
  <c r="E150" i="6"/>
  <c r="D150" i="6"/>
  <c r="P149" i="6"/>
  <c r="E149" i="6"/>
  <c r="D149" i="6"/>
  <c r="M149" i="6" s="1"/>
  <c r="P148" i="6"/>
  <c r="E148" i="6"/>
  <c r="D148" i="6"/>
  <c r="M148" i="6" s="1"/>
  <c r="P147" i="6"/>
  <c r="E147" i="6"/>
  <c r="D147" i="6"/>
  <c r="M147" i="6" s="1"/>
  <c r="P146" i="6"/>
  <c r="M146" i="6"/>
  <c r="E146" i="6"/>
  <c r="F146" i="6" s="1"/>
  <c r="L146" i="6" s="1"/>
  <c r="P145" i="6"/>
  <c r="M145" i="6"/>
  <c r="E145" i="6"/>
  <c r="F145" i="6" s="1"/>
  <c r="L145" i="6" s="1"/>
  <c r="P144" i="6"/>
  <c r="M144" i="6"/>
  <c r="E144" i="6"/>
  <c r="F144" i="6" s="1"/>
  <c r="L144" i="6" s="1"/>
  <c r="P143" i="6"/>
  <c r="M143" i="6"/>
  <c r="E143" i="6"/>
  <c r="F143" i="6" s="1"/>
  <c r="L143" i="6" s="1"/>
  <c r="P142" i="6"/>
  <c r="M142" i="6"/>
  <c r="E142" i="6"/>
  <c r="F142" i="6" s="1"/>
  <c r="L142" i="6" s="1"/>
  <c r="P141" i="6"/>
  <c r="M141" i="6"/>
  <c r="E141" i="6"/>
  <c r="F141" i="6" s="1"/>
  <c r="L141" i="6" s="1"/>
  <c r="P139" i="6"/>
  <c r="E139" i="6"/>
  <c r="D139" i="6"/>
  <c r="M139" i="6" s="1"/>
  <c r="P138" i="6"/>
  <c r="E138" i="6"/>
  <c r="D138" i="6"/>
  <c r="P137" i="6"/>
  <c r="E137" i="6"/>
  <c r="D137" i="6"/>
  <c r="M137" i="6" s="1"/>
  <c r="P136" i="6"/>
  <c r="E136" i="6"/>
  <c r="D136" i="6"/>
  <c r="P135" i="6"/>
  <c r="E135" i="6"/>
  <c r="D135" i="6"/>
  <c r="M135" i="6" s="1"/>
  <c r="P134" i="6"/>
  <c r="E134" i="6"/>
  <c r="D134" i="6"/>
  <c r="P133" i="6"/>
  <c r="E133" i="6"/>
  <c r="D133" i="6"/>
  <c r="M133" i="6" s="1"/>
  <c r="P132" i="6"/>
  <c r="E132" i="6"/>
  <c r="D132" i="6"/>
  <c r="P131" i="6"/>
  <c r="E131" i="6"/>
  <c r="D131" i="6"/>
  <c r="M131" i="6" s="1"/>
  <c r="P130" i="6"/>
  <c r="E130" i="6"/>
  <c r="D130" i="6"/>
  <c r="P129" i="6"/>
  <c r="E129" i="6"/>
  <c r="D129" i="6"/>
  <c r="M129" i="6" s="1"/>
  <c r="P128" i="6"/>
  <c r="E128" i="6"/>
  <c r="D128" i="6"/>
  <c r="P126" i="6"/>
  <c r="M126" i="6"/>
  <c r="E126" i="6"/>
  <c r="F126" i="6" s="1"/>
  <c r="L126" i="6" s="1"/>
  <c r="P125" i="6"/>
  <c r="M125" i="6"/>
  <c r="E125" i="6"/>
  <c r="F125" i="6" s="1"/>
  <c r="L125" i="6" s="1"/>
  <c r="P124" i="6"/>
  <c r="E124" i="6"/>
  <c r="D124" i="6"/>
  <c r="M124" i="6" s="1"/>
  <c r="P123" i="6"/>
  <c r="E123" i="6"/>
  <c r="D123" i="6"/>
  <c r="M123" i="6" s="1"/>
  <c r="P122" i="6"/>
  <c r="E122" i="6"/>
  <c r="D122" i="6"/>
  <c r="P121" i="6"/>
  <c r="E121" i="6"/>
  <c r="D121" i="6"/>
  <c r="M121" i="6" s="1"/>
  <c r="P120" i="6"/>
  <c r="E120" i="6"/>
  <c r="D120" i="6"/>
  <c r="M120" i="6" s="1"/>
  <c r="P119" i="6"/>
  <c r="E119" i="6"/>
  <c r="D119" i="6"/>
  <c r="M119" i="6" s="1"/>
  <c r="P118" i="6"/>
  <c r="E118" i="6"/>
  <c r="D118" i="6"/>
  <c r="P117" i="6"/>
  <c r="E117" i="6"/>
  <c r="D117" i="6"/>
  <c r="M117" i="6" s="1"/>
  <c r="P116" i="6"/>
  <c r="E116" i="6"/>
  <c r="D116" i="6"/>
  <c r="M116" i="6" s="1"/>
  <c r="P115" i="6"/>
  <c r="E115" i="6"/>
  <c r="D115" i="6"/>
  <c r="M115" i="6" s="1"/>
  <c r="P113" i="6"/>
  <c r="M113" i="6"/>
  <c r="E113" i="6"/>
  <c r="F113" i="6" s="1"/>
  <c r="L113" i="6" s="1"/>
  <c r="P112" i="6"/>
  <c r="M112" i="6"/>
  <c r="F112" i="6"/>
  <c r="L112" i="6" s="1"/>
  <c r="P111" i="6"/>
  <c r="M111" i="6"/>
  <c r="F111" i="6"/>
  <c r="L111" i="6" s="1"/>
  <c r="P110" i="6"/>
  <c r="M110" i="6"/>
  <c r="F110" i="6"/>
  <c r="L110" i="6" s="1"/>
  <c r="P109" i="6"/>
  <c r="M109" i="6"/>
  <c r="E109" i="6"/>
  <c r="F109" i="6" s="1"/>
  <c r="L109" i="6" s="1"/>
  <c r="P108" i="6"/>
  <c r="M108" i="6"/>
  <c r="E108" i="6"/>
  <c r="F108" i="6" s="1"/>
  <c r="L108" i="6" s="1"/>
  <c r="P107" i="6"/>
  <c r="M107" i="6"/>
  <c r="E107" i="6"/>
  <c r="F107" i="6" s="1"/>
  <c r="L107" i="6" s="1"/>
  <c r="P106" i="6"/>
  <c r="M106" i="6"/>
  <c r="E106" i="6"/>
  <c r="F106" i="6" s="1"/>
  <c r="L106" i="6" s="1"/>
  <c r="P105" i="6"/>
  <c r="M105" i="6"/>
  <c r="E105" i="6"/>
  <c r="F105" i="6" s="1"/>
  <c r="L105" i="6" s="1"/>
  <c r="P104" i="6"/>
  <c r="M104" i="6"/>
  <c r="E104" i="6"/>
  <c r="F104" i="6" s="1"/>
  <c r="L104" i="6" s="1"/>
  <c r="P103" i="6"/>
  <c r="M103" i="6"/>
  <c r="E103" i="6"/>
  <c r="F103" i="6" s="1"/>
  <c r="L103" i="6" s="1"/>
  <c r="P102" i="6"/>
  <c r="M102" i="6"/>
  <c r="E102" i="6"/>
  <c r="F102" i="6" s="1"/>
  <c r="L102" i="6" s="1"/>
  <c r="P100" i="6"/>
  <c r="E100" i="6"/>
  <c r="D100" i="6"/>
  <c r="M100" i="6" s="1"/>
  <c r="P99" i="6"/>
  <c r="E99" i="6"/>
  <c r="D99" i="6"/>
  <c r="M99" i="6" s="1"/>
  <c r="P98" i="6"/>
  <c r="D98" i="6"/>
  <c r="M98" i="6" s="1"/>
  <c r="P97" i="6"/>
  <c r="D97" i="6"/>
  <c r="P96" i="6"/>
  <c r="D96" i="6"/>
  <c r="F96" i="6" s="1"/>
  <c r="L96" i="6" s="1"/>
  <c r="P95" i="6"/>
  <c r="D95" i="6"/>
  <c r="P94" i="6"/>
  <c r="D94" i="6"/>
  <c r="P93" i="6"/>
  <c r="D93" i="6"/>
  <c r="M93" i="6" s="1"/>
  <c r="P92" i="6"/>
  <c r="D92" i="6"/>
  <c r="M92" i="6" s="1"/>
  <c r="P91" i="6"/>
  <c r="D91" i="6"/>
  <c r="M91" i="6" s="1"/>
  <c r="P90" i="6"/>
  <c r="D90" i="6"/>
  <c r="M90" i="6" s="1"/>
  <c r="P89" i="6"/>
  <c r="D89" i="6"/>
  <c r="F89" i="6" s="1"/>
  <c r="L89" i="6" s="1"/>
  <c r="P87" i="6"/>
  <c r="D87" i="6"/>
  <c r="M87" i="6" s="1"/>
  <c r="P86" i="6"/>
  <c r="D86" i="6"/>
  <c r="M86" i="6" s="1"/>
  <c r="P85" i="6"/>
  <c r="D85" i="6"/>
  <c r="F85" i="6" s="1"/>
  <c r="L85" i="6" s="1"/>
  <c r="P84" i="6"/>
  <c r="D84" i="6"/>
  <c r="M84" i="6" s="1"/>
  <c r="P83" i="6"/>
  <c r="D83" i="6"/>
  <c r="M83" i="6" s="1"/>
  <c r="P82" i="6"/>
  <c r="D82" i="6"/>
  <c r="M82" i="6" s="1"/>
  <c r="P81" i="6"/>
  <c r="D81" i="6"/>
  <c r="F81" i="6" s="1"/>
  <c r="L81" i="6" s="1"/>
  <c r="P80" i="6"/>
  <c r="D80" i="6"/>
  <c r="M80" i="6" s="1"/>
  <c r="P79" i="6"/>
  <c r="D79" i="6"/>
  <c r="F79" i="6" s="1"/>
  <c r="L79" i="6" s="1"/>
  <c r="P78" i="6"/>
  <c r="D78" i="6"/>
  <c r="P77" i="6"/>
  <c r="D77" i="6"/>
  <c r="M77" i="6" s="1"/>
  <c r="P76" i="6"/>
  <c r="D76" i="6"/>
  <c r="M76" i="6" s="1"/>
  <c r="P74" i="6"/>
  <c r="D74" i="6"/>
  <c r="F74" i="6" s="1"/>
  <c r="L74" i="6" s="1"/>
  <c r="P73" i="6"/>
  <c r="D73" i="6"/>
  <c r="M73" i="6" s="1"/>
  <c r="P72" i="6"/>
  <c r="D72" i="6"/>
  <c r="F72" i="6" s="1"/>
  <c r="L72" i="6" s="1"/>
  <c r="P71" i="6"/>
  <c r="D71" i="6"/>
  <c r="F71" i="6" s="1"/>
  <c r="L71" i="6" s="1"/>
  <c r="P70" i="6"/>
  <c r="D70" i="6"/>
  <c r="M70" i="6" s="1"/>
  <c r="P69" i="6"/>
  <c r="D69" i="6"/>
  <c r="M69" i="6" s="1"/>
  <c r="P68" i="6"/>
  <c r="D68" i="6"/>
  <c r="F68" i="6" s="1"/>
  <c r="L68" i="6" s="1"/>
  <c r="P67" i="6"/>
  <c r="D67" i="6"/>
  <c r="M67" i="6" s="1"/>
  <c r="P66" i="6"/>
  <c r="D66" i="6"/>
  <c r="F66" i="6" s="1"/>
  <c r="L66" i="6" s="1"/>
  <c r="P65" i="6"/>
  <c r="D65" i="6"/>
  <c r="M65" i="6" s="1"/>
  <c r="P64" i="6"/>
  <c r="D64" i="6"/>
  <c r="F64" i="6" s="1"/>
  <c r="L64" i="6" s="1"/>
  <c r="P63" i="6"/>
  <c r="D63" i="6"/>
  <c r="M63" i="6" s="1"/>
  <c r="P62" i="9"/>
  <c r="F99" i="9"/>
  <c r="K99" i="9" s="1"/>
  <c r="P99" i="9"/>
  <c r="P98" i="9"/>
  <c r="P97" i="9"/>
  <c r="P96" i="9"/>
  <c r="P95" i="9"/>
  <c r="P94" i="9"/>
  <c r="P93" i="9"/>
  <c r="P92" i="9"/>
  <c r="P91" i="9"/>
  <c r="P90" i="9"/>
  <c r="P89" i="9"/>
  <c r="P88" i="9"/>
  <c r="F97" i="9"/>
  <c r="K97" i="9" s="1"/>
  <c r="F98" i="9"/>
  <c r="K98" i="9" s="1"/>
  <c r="F96" i="9"/>
  <c r="K96" i="9" s="1"/>
  <c r="F95" i="9"/>
  <c r="K95" i="9" s="1"/>
  <c r="F94" i="9"/>
  <c r="K94" i="9" s="1"/>
  <c r="F93" i="9"/>
  <c r="K93" i="9" s="1"/>
  <c r="F92" i="9"/>
  <c r="K92" i="9" s="1"/>
  <c r="F91" i="9"/>
  <c r="K91" i="9" s="1"/>
  <c r="F90" i="9"/>
  <c r="K90" i="9" s="1"/>
  <c r="F89" i="9"/>
  <c r="K89" i="9" s="1"/>
  <c r="F88" i="9"/>
  <c r="K88" i="9" s="1"/>
  <c r="F86" i="9"/>
  <c r="K86" i="9" s="1"/>
  <c r="P86" i="9"/>
  <c r="F85" i="9"/>
  <c r="K85" i="9" s="1"/>
  <c r="P85" i="9"/>
  <c r="F84" i="9"/>
  <c r="K84" i="9" s="1"/>
  <c r="P84" i="9"/>
  <c r="F83" i="9"/>
  <c r="K83" i="9" s="1"/>
  <c r="P83" i="9"/>
  <c r="F82" i="9"/>
  <c r="K82" i="9" s="1"/>
  <c r="P82" i="9"/>
  <c r="F81" i="9"/>
  <c r="K81" i="9" s="1"/>
  <c r="P81" i="9"/>
  <c r="F80" i="9"/>
  <c r="K80" i="9" s="1"/>
  <c r="P80" i="9"/>
  <c r="F79" i="9"/>
  <c r="K79" i="9" s="1"/>
  <c r="P79" i="9"/>
  <c r="F78" i="9"/>
  <c r="K78" i="9" s="1"/>
  <c r="P78" i="9"/>
  <c r="F77" i="9"/>
  <c r="K77" i="9" s="1"/>
  <c r="P77" i="9"/>
  <c r="F76" i="9"/>
  <c r="K76" i="9" s="1"/>
  <c r="P76" i="9"/>
  <c r="F75" i="9"/>
  <c r="K75" i="9" s="1"/>
  <c r="P75" i="9"/>
  <c r="F62" i="9"/>
  <c r="K62" i="9" s="1"/>
  <c r="F63" i="9"/>
  <c r="K63" i="9" s="1"/>
  <c r="P63" i="9"/>
  <c r="F64" i="9"/>
  <c r="K64" i="9" s="1"/>
  <c r="P64" i="9"/>
  <c r="F65" i="9"/>
  <c r="K65" i="9" s="1"/>
  <c r="P65" i="9"/>
  <c r="F66" i="9"/>
  <c r="K66" i="9" s="1"/>
  <c r="P66" i="9"/>
  <c r="F67" i="9"/>
  <c r="K67" i="9" s="1"/>
  <c r="P67" i="9"/>
  <c r="F68" i="9"/>
  <c r="K68" i="9" s="1"/>
  <c r="P68" i="9"/>
  <c r="F69" i="9"/>
  <c r="K69" i="9" s="1"/>
  <c r="P69" i="9"/>
  <c r="F70" i="9"/>
  <c r="K70" i="9" s="1"/>
  <c r="P70" i="9"/>
  <c r="F71" i="9"/>
  <c r="K71" i="9" s="1"/>
  <c r="P71" i="9"/>
  <c r="F72" i="9"/>
  <c r="K72" i="9" s="1"/>
  <c r="P72" i="9"/>
  <c r="F73" i="9"/>
  <c r="K73" i="9" s="1"/>
  <c r="P73" i="9"/>
  <c r="P12" i="6"/>
  <c r="Q12" i="6" s="1"/>
  <c r="D37" i="6"/>
  <c r="P37" i="6"/>
  <c r="D38" i="6"/>
  <c r="M38" i="6" s="1"/>
  <c r="P38" i="6"/>
  <c r="D39" i="6"/>
  <c r="F39" i="6" s="1"/>
  <c r="L39" i="6" s="1"/>
  <c r="P39" i="6"/>
  <c r="D40" i="6"/>
  <c r="P40" i="6"/>
  <c r="D41" i="6"/>
  <c r="M41" i="6" s="1"/>
  <c r="P41" i="6"/>
  <c r="D42" i="6"/>
  <c r="F42" i="6" s="1"/>
  <c r="L42" i="6" s="1"/>
  <c r="P42" i="6"/>
  <c r="D43" i="6"/>
  <c r="M43" i="6" s="1"/>
  <c r="P43" i="6"/>
  <c r="D44" i="6"/>
  <c r="P44" i="6"/>
  <c r="D45" i="6"/>
  <c r="F45" i="6" s="1"/>
  <c r="L45" i="6" s="1"/>
  <c r="P45" i="6"/>
  <c r="D46" i="6"/>
  <c r="P46" i="6"/>
  <c r="D47" i="6"/>
  <c r="M47" i="6" s="1"/>
  <c r="P47" i="6"/>
  <c r="D48" i="6"/>
  <c r="P48" i="6"/>
  <c r="D50" i="6"/>
  <c r="M50" i="6" s="1"/>
  <c r="P50" i="6"/>
  <c r="D51" i="6"/>
  <c r="M51" i="6" s="1"/>
  <c r="P51" i="6"/>
  <c r="D52" i="6"/>
  <c r="M52" i="6" s="1"/>
  <c r="P52" i="6"/>
  <c r="D53" i="6"/>
  <c r="P53" i="6"/>
  <c r="D54" i="6"/>
  <c r="M54" i="6" s="1"/>
  <c r="P54" i="6"/>
  <c r="D55" i="6"/>
  <c r="P55" i="6"/>
  <c r="D56" i="6"/>
  <c r="F56" i="6" s="1"/>
  <c r="L56" i="6" s="1"/>
  <c r="P56" i="6"/>
  <c r="D57" i="6"/>
  <c r="P57" i="6"/>
  <c r="D58" i="6"/>
  <c r="M58" i="6" s="1"/>
  <c r="P58" i="6"/>
  <c r="D59" i="6"/>
  <c r="F59" i="6" s="1"/>
  <c r="L59" i="6" s="1"/>
  <c r="P59" i="6"/>
  <c r="D60" i="6"/>
  <c r="M60" i="6" s="1"/>
  <c r="P60" i="6"/>
  <c r="D61" i="6"/>
  <c r="M61" i="6" s="1"/>
  <c r="P61" i="6"/>
  <c r="Q46" i="9" l="1"/>
  <c r="Q30" i="9"/>
  <c r="Q34" i="9"/>
  <c r="Q112" i="9"/>
  <c r="Q97" i="9"/>
  <c r="Q136" i="9"/>
  <c r="Q31" i="9"/>
  <c r="Q36" i="9"/>
  <c r="Q44" i="9"/>
  <c r="Q49" i="9"/>
  <c r="Q199" i="6"/>
  <c r="Q269" i="6"/>
  <c r="Q32" i="9"/>
  <c r="Q94" i="9"/>
  <c r="Q33" i="9"/>
  <c r="Q78" i="9"/>
  <c r="Q81" i="9"/>
  <c r="Q85" i="9"/>
  <c r="Q89" i="9"/>
  <c r="Q17" i="9"/>
  <c r="Q19" i="9"/>
  <c r="Q41" i="9"/>
  <c r="Q50" i="9"/>
  <c r="Q140" i="9"/>
  <c r="Q92" i="9"/>
  <c r="Q96" i="9"/>
  <c r="Q20" i="9"/>
  <c r="Q106" i="9"/>
  <c r="Q128" i="9"/>
  <c r="Q101" i="9"/>
  <c r="Q21" i="9"/>
  <c r="Q72" i="9"/>
  <c r="Q66" i="9"/>
  <c r="Q102" i="9"/>
  <c r="Q23" i="9"/>
  <c r="Q57" i="9"/>
  <c r="Q119" i="9"/>
  <c r="Q130" i="9"/>
  <c r="Q71" i="9"/>
  <c r="Q69" i="9"/>
  <c r="Q65" i="9"/>
  <c r="Q24" i="9"/>
  <c r="Q56" i="9"/>
  <c r="Q111" i="9"/>
  <c r="Q120" i="9"/>
  <c r="Q38" i="9"/>
  <c r="F41" i="6"/>
  <c r="L41" i="6" s="1"/>
  <c r="Q41" i="6" s="1"/>
  <c r="Q68" i="9"/>
  <c r="Q88" i="9"/>
  <c r="Q18" i="9"/>
  <c r="Q55" i="9"/>
  <c r="Q110" i="9"/>
  <c r="Q122" i="9"/>
  <c r="Q127" i="9"/>
  <c r="Q98" i="9"/>
  <c r="Q12" i="9"/>
  <c r="Q29" i="9"/>
  <c r="Q37" i="9"/>
  <c r="Q54" i="9"/>
  <c r="Q118" i="9"/>
  <c r="Q125" i="9"/>
  <c r="Q13" i="9"/>
  <c r="Q27" i="9"/>
  <c r="Q52" i="9"/>
  <c r="Q59" i="9"/>
  <c r="Q108" i="9"/>
  <c r="Q116" i="9"/>
  <c r="Q141" i="6"/>
  <c r="F151" i="6"/>
  <c r="L151" i="6" s="1"/>
  <c r="Q151" i="6" s="1"/>
  <c r="Q144" i="6"/>
  <c r="Q72" i="6"/>
  <c r="M79" i="6"/>
  <c r="Q89" i="6"/>
  <c r="F98" i="6"/>
  <c r="L98" i="6" s="1"/>
  <c r="Q98" i="6" s="1"/>
  <c r="F43" i="6"/>
  <c r="L43" i="6" s="1"/>
  <c r="Q43" i="6" s="1"/>
  <c r="F132" i="6"/>
  <c r="L132" i="6" s="1"/>
  <c r="Q132" i="6" s="1"/>
  <c r="F138" i="6"/>
  <c r="L138" i="6" s="1"/>
  <c r="Q138" i="6" s="1"/>
  <c r="Q174" i="6"/>
  <c r="Q224" i="6"/>
  <c r="F67" i="6"/>
  <c r="L67" i="6" s="1"/>
  <c r="Q67" i="6" s="1"/>
  <c r="M59" i="6"/>
  <c r="Q79" i="6"/>
  <c r="M81" i="6"/>
  <c r="F128" i="6"/>
  <c r="L128" i="6" s="1"/>
  <c r="Q128" i="6" s="1"/>
  <c r="F76" i="6"/>
  <c r="L76" i="6" s="1"/>
  <c r="Q76" i="6" s="1"/>
  <c r="M56" i="6"/>
  <c r="F123" i="6"/>
  <c r="L123" i="6" s="1"/>
  <c r="Q123" i="6" s="1"/>
  <c r="F130" i="6"/>
  <c r="L130" i="6" s="1"/>
  <c r="Q130" i="6" s="1"/>
  <c r="F136" i="6"/>
  <c r="L136" i="6" s="1"/>
  <c r="Q136" i="6" s="1"/>
  <c r="F156" i="6"/>
  <c r="L156" i="6" s="1"/>
  <c r="Q156" i="6" s="1"/>
  <c r="Q71" i="6"/>
  <c r="Q125" i="6"/>
  <c r="F134" i="6"/>
  <c r="L134" i="6" s="1"/>
  <c r="Q134" i="6" s="1"/>
  <c r="F135" i="6"/>
  <c r="L135" i="6" s="1"/>
  <c r="Q135" i="6" s="1"/>
  <c r="F149" i="6"/>
  <c r="L149" i="6" s="1"/>
  <c r="Q149" i="6" s="1"/>
  <c r="Q233" i="6"/>
  <c r="Q241" i="6"/>
  <c r="Q123" i="9"/>
  <c r="Q67" i="9"/>
  <c r="Q80" i="9"/>
  <c r="Q105" i="9"/>
  <c r="Q77" i="9"/>
  <c r="Q84" i="9"/>
  <c r="Q90" i="9"/>
  <c r="Q95" i="9"/>
  <c r="Q142" i="6"/>
  <c r="Q145" i="6"/>
  <c r="F147" i="6"/>
  <c r="L147" i="6" s="1"/>
  <c r="Q147" i="6" s="1"/>
  <c r="Q104" i="9"/>
  <c r="Q107" i="9"/>
  <c r="Q109" i="9"/>
  <c r="Q131" i="9"/>
  <c r="Q73" i="9"/>
  <c r="Q10" i="9"/>
  <c r="Q14" i="9"/>
  <c r="Q70" i="9"/>
  <c r="M64" i="6"/>
  <c r="Q96" i="6"/>
  <c r="M128" i="6"/>
  <c r="M130" i="6"/>
  <c r="M132" i="6"/>
  <c r="M134" i="6"/>
  <c r="M136" i="6"/>
  <c r="M138" i="6"/>
  <c r="M156" i="6"/>
  <c r="F158" i="6"/>
  <c r="L158" i="6" s="1"/>
  <c r="Q158" i="6" s="1"/>
  <c r="Q25" i="9"/>
  <c r="Q39" i="9"/>
  <c r="Q42" i="9"/>
  <c r="Q53" i="9"/>
  <c r="Q60" i="9"/>
  <c r="Q115" i="9"/>
  <c r="Q129" i="9"/>
  <c r="Q134" i="9"/>
  <c r="Q141" i="9"/>
  <c r="Q225" i="6"/>
  <c r="F90" i="6"/>
  <c r="L90" i="6" s="1"/>
  <c r="Q90" i="6" s="1"/>
  <c r="F60" i="6"/>
  <c r="L60" i="6" s="1"/>
  <c r="Q60" i="6" s="1"/>
  <c r="Q223" i="6"/>
  <c r="Q254" i="6"/>
  <c r="Q260" i="6"/>
  <c r="Q11" i="9"/>
  <c r="Q15" i="9"/>
  <c r="Q40" i="9"/>
  <c r="Q43" i="9"/>
  <c r="Q132" i="9"/>
  <c r="F52" i="6"/>
  <c r="L52" i="6" s="1"/>
  <c r="Q52" i="6" s="1"/>
  <c r="Q75" i="9"/>
  <c r="Q85" i="6"/>
  <c r="M151" i="6"/>
  <c r="Q168" i="6"/>
  <c r="Q198" i="6"/>
  <c r="Q103" i="9"/>
  <c r="Q58" i="9"/>
  <c r="Q135" i="9"/>
  <c r="Q62" i="9"/>
  <c r="Q137" i="9"/>
  <c r="Q121" i="9"/>
  <c r="Q93" i="9"/>
  <c r="Q76" i="9"/>
  <c r="Q26" i="9"/>
  <c r="F63" i="6"/>
  <c r="L63" i="6" s="1"/>
  <c r="Q63" i="6" s="1"/>
  <c r="F229" i="6"/>
  <c r="L229" i="6" s="1"/>
  <c r="Q229" i="6" s="1"/>
  <c r="Q183" i="6"/>
  <c r="Q197" i="6"/>
  <c r="Q211" i="6"/>
  <c r="Q253" i="6"/>
  <c r="F38" i="6"/>
  <c r="L38" i="6" s="1"/>
  <c r="Q38" i="6" s="1"/>
  <c r="M39" i="6"/>
  <c r="Q66" i="6"/>
  <c r="Q175" i="6"/>
  <c r="Q177" i="6"/>
  <c r="Q184" i="6"/>
  <c r="Q195" i="6"/>
  <c r="Q206" i="6"/>
  <c r="Q220" i="6"/>
  <c r="Q239" i="6"/>
  <c r="Q248" i="6"/>
  <c r="Q126" i="6"/>
  <c r="Q237" i="6"/>
  <c r="F93" i="6"/>
  <c r="L93" i="6" s="1"/>
  <c r="Q93" i="6" s="1"/>
  <c r="Q113" i="6"/>
  <c r="Q176" i="6"/>
  <c r="Q190" i="6"/>
  <c r="Q196" i="6"/>
  <c r="Q249" i="6"/>
  <c r="Q258" i="6"/>
  <c r="F86" i="6"/>
  <c r="L86" i="6" s="1"/>
  <c r="Q86" i="6" s="1"/>
  <c r="Q68" i="6"/>
  <c r="M72" i="6"/>
  <c r="M96" i="6"/>
  <c r="F122" i="6"/>
  <c r="L122" i="6" s="1"/>
  <c r="Q122" i="6" s="1"/>
  <c r="Q169" i="6"/>
  <c r="Q243" i="6"/>
  <c r="F100" i="6"/>
  <c r="L100" i="6" s="1"/>
  <c r="Q100" i="6" s="1"/>
  <c r="F80" i="6"/>
  <c r="L80" i="6" s="1"/>
  <c r="Q80" i="6" s="1"/>
  <c r="Q103" i="6"/>
  <c r="Q182" i="6"/>
  <c r="Q185" i="6"/>
  <c r="Q202" i="6"/>
  <c r="Q213" i="6"/>
  <c r="Q227" i="6"/>
  <c r="Q256" i="6"/>
  <c r="Q262" i="6"/>
  <c r="F164" i="6"/>
  <c r="L164" i="6" s="1"/>
  <c r="Q164" i="6" s="1"/>
  <c r="F54" i="6"/>
  <c r="L54" i="6" s="1"/>
  <c r="Q54" i="6" s="1"/>
  <c r="M45" i="6"/>
  <c r="M42" i="6"/>
  <c r="M66" i="6"/>
  <c r="F154" i="6"/>
  <c r="L154" i="6" s="1"/>
  <c r="Q154" i="6" s="1"/>
  <c r="Q170" i="6"/>
  <c r="Q208" i="6"/>
  <c r="Q246" i="6"/>
  <c r="Q251" i="6"/>
  <c r="F83" i="6"/>
  <c r="L83" i="6" s="1"/>
  <c r="Q83" i="6" s="1"/>
  <c r="Q143" i="6"/>
  <c r="F119" i="6"/>
  <c r="L119" i="6" s="1"/>
  <c r="Q119" i="6" s="1"/>
  <c r="Q186" i="6"/>
  <c r="Q222" i="6"/>
  <c r="Q263" i="6"/>
  <c r="Q56" i="6"/>
  <c r="F117" i="6"/>
  <c r="L117" i="6" s="1"/>
  <c r="Q117" i="6" s="1"/>
  <c r="F124" i="6"/>
  <c r="L124" i="6" s="1"/>
  <c r="Q124" i="6" s="1"/>
  <c r="F162" i="6"/>
  <c r="L162" i="6" s="1"/>
  <c r="Q162" i="6" s="1"/>
  <c r="Q178" i="6"/>
  <c r="Q194" i="6"/>
  <c r="Q209" i="6"/>
  <c r="Q238" i="6"/>
  <c r="Q247" i="6"/>
  <c r="Q252" i="6"/>
  <c r="Q268" i="6"/>
  <c r="Q102" i="6"/>
  <c r="Q109" i="6"/>
  <c r="Q189" i="6"/>
  <c r="Q191" i="6"/>
  <c r="Q203" i="6"/>
  <c r="Q214" i="6"/>
  <c r="Q255" i="6"/>
  <c r="Q261" i="6"/>
  <c r="Q266" i="6"/>
  <c r="Q39" i="6"/>
  <c r="F50" i="6"/>
  <c r="L50" i="6" s="1"/>
  <c r="Q50" i="6" s="1"/>
  <c r="Q112" i="6"/>
  <c r="Q193" i="6"/>
  <c r="Q207" i="6"/>
  <c r="Q267" i="6"/>
  <c r="F92" i="6"/>
  <c r="L92" i="6" s="1"/>
  <c r="Q92" i="6" s="1"/>
  <c r="F70" i="6"/>
  <c r="L70" i="6" s="1"/>
  <c r="Q70" i="6" s="1"/>
  <c r="F160" i="6"/>
  <c r="L160" i="6" s="1"/>
  <c r="Q160" i="6" s="1"/>
  <c r="Q106" i="6"/>
  <c r="F115" i="6"/>
  <c r="L115" i="6" s="1"/>
  <c r="Q115" i="6" s="1"/>
  <c r="Q173" i="6"/>
  <c r="Q181" i="6"/>
  <c r="Q204" i="6"/>
  <c r="Q216" i="6"/>
  <c r="Q236" i="6"/>
  <c r="Q265" i="6"/>
  <c r="F84" i="6"/>
  <c r="L84" i="6" s="1"/>
  <c r="Q84" i="6" s="1"/>
  <c r="F99" i="6"/>
  <c r="L99" i="6" s="1"/>
  <c r="Q99" i="6" s="1"/>
  <c r="F51" i="6"/>
  <c r="L51" i="6" s="1"/>
  <c r="Q51" i="6" s="1"/>
  <c r="Q64" i="6"/>
  <c r="M68" i="6"/>
  <c r="M71" i="6"/>
  <c r="M74" i="6"/>
  <c r="Q81" i="6"/>
  <c r="M85" i="6"/>
  <c r="M89" i="6"/>
  <c r="Q110" i="6"/>
  <c r="F118" i="6"/>
  <c r="L118" i="6" s="1"/>
  <c r="Q118" i="6" s="1"/>
  <c r="F129" i="6"/>
  <c r="L129" i="6" s="1"/>
  <c r="Q129" i="6" s="1"/>
  <c r="F131" i="6"/>
  <c r="L131" i="6" s="1"/>
  <c r="Q131" i="6" s="1"/>
  <c r="F133" i="6"/>
  <c r="L133" i="6" s="1"/>
  <c r="Q133" i="6" s="1"/>
  <c r="F137" i="6"/>
  <c r="L137" i="6" s="1"/>
  <c r="Q137" i="6" s="1"/>
  <c r="F139" i="6"/>
  <c r="L139" i="6" s="1"/>
  <c r="Q139" i="6" s="1"/>
  <c r="Q146" i="6"/>
  <c r="M154" i="6"/>
  <c r="Q188" i="6"/>
  <c r="Q201" i="6"/>
  <c r="F58" i="6"/>
  <c r="L58" i="6" s="1"/>
  <c r="Q58" i="6" s="1"/>
  <c r="F159" i="6"/>
  <c r="L159" i="6" s="1"/>
  <c r="Q159" i="6" s="1"/>
  <c r="F228" i="6"/>
  <c r="L228" i="6" s="1"/>
  <c r="Q228" i="6" s="1"/>
  <c r="F47" i="6"/>
  <c r="L47" i="6" s="1"/>
  <c r="Q47" i="6" s="1"/>
  <c r="Q59" i="6"/>
  <c r="Q45" i="6"/>
  <c r="Q107" i="6"/>
  <c r="Q172" i="6"/>
  <c r="Q215" i="6"/>
  <c r="Q235" i="6"/>
  <c r="F82" i="6"/>
  <c r="L82" i="6" s="1"/>
  <c r="Q82" i="6" s="1"/>
  <c r="F65" i="6"/>
  <c r="L65" i="6" s="1"/>
  <c r="Q65" i="6" s="1"/>
  <c r="F87" i="6"/>
  <c r="L87" i="6" s="1"/>
  <c r="Q87" i="6" s="1"/>
  <c r="Q105" i="6"/>
  <c r="F121" i="6"/>
  <c r="L121" i="6" s="1"/>
  <c r="Q121" i="6" s="1"/>
  <c r="Q167" i="6"/>
  <c r="Q180" i="6"/>
  <c r="Q245" i="6"/>
  <c r="Q264" i="6"/>
  <c r="F73" i="6"/>
  <c r="L73" i="6" s="1"/>
  <c r="Q73" i="6" s="1"/>
  <c r="Q111" i="6"/>
  <c r="Q187" i="6"/>
  <c r="Q221" i="6"/>
  <c r="Q242" i="6"/>
  <c r="K138" i="9"/>
  <c r="Q138" i="9" s="1"/>
  <c r="M155" i="6"/>
  <c r="F155" i="6"/>
  <c r="L155" i="6" s="1"/>
  <c r="Q155" i="6" s="1"/>
  <c r="Q86" i="9"/>
  <c r="Q91" i="9"/>
  <c r="Q212" i="6"/>
  <c r="Q234" i="6"/>
  <c r="Q63" i="9"/>
  <c r="Q42" i="6"/>
  <c r="M78" i="6"/>
  <c r="F78" i="6"/>
  <c r="L78" i="6" s="1"/>
  <c r="Q78" i="6" s="1"/>
  <c r="M95" i="6"/>
  <c r="F95" i="6"/>
  <c r="L95" i="6" s="1"/>
  <c r="Q95" i="6" s="1"/>
  <c r="F157" i="6"/>
  <c r="L157" i="6" s="1"/>
  <c r="Q157" i="6" s="1"/>
  <c r="M157" i="6"/>
  <c r="Q210" i="6"/>
  <c r="Q232" i="6"/>
  <c r="Q79" i="9"/>
  <c r="Q83" i="9"/>
  <c r="F165" i="6"/>
  <c r="L165" i="6" s="1"/>
  <c r="Q165" i="6" s="1"/>
  <c r="M46" i="6"/>
  <c r="F46" i="6"/>
  <c r="L46" i="6" s="1"/>
  <c r="Q46" i="6" s="1"/>
  <c r="M40" i="6"/>
  <c r="F40" i="6"/>
  <c r="L40" i="6" s="1"/>
  <c r="Q40" i="6" s="1"/>
  <c r="M97" i="6"/>
  <c r="F97" i="6"/>
  <c r="L97" i="6" s="1"/>
  <c r="Q97" i="6" s="1"/>
  <c r="F163" i="6"/>
  <c r="L163" i="6" s="1"/>
  <c r="Q163" i="6" s="1"/>
  <c r="M163" i="6"/>
  <c r="Q171" i="6"/>
  <c r="Q219" i="6"/>
  <c r="Q240" i="6"/>
  <c r="Q99" i="9"/>
  <c r="F150" i="6"/>
  <c r="L150" i="6" s="1"/>
  <c r="Q150" i="6" s="1"/>
  <c r="M150" i="6"/>
  <c r="M37" i="6"/>
  <c r="F37" i="6"/>
  <c r="L37" i="6" s="1"/>
  <c r="Q37" i="6" s="1"/>
  <c r="Q64" i="9"/>
  <c r="F91" i="6"/>
  <c r="L91" i="6" s="1"/>
  <c r="Q91" i="6" s="1"/>
  <c r="F152" i="6"/>
  <c r="L152" i="6" s="1"/>
  <c r="Q152" i="6" s="1"/>
  <c r="Q74" i="6"/>
  <c r="F148" i="6"/>
  <c r="L148" i="6" s="1"/>
  <c r="Q148" i="6" s="1"/>
  <c r="M53" i="6"/>
  <c r="F53" i="6"/>
  <c r="L53" i="6" s="1"/>
  <c r="Q53" i="6" s="1"/>
  <c r="M94" i="6"/>
  <c r="F94" i="6"/>
  <c r="L94" i="6" s="1"/>
  <c r="Q94" i="6" s="1"/>
  <c r="M161" i="6"/>
  <c r="F161" i="6"/>
  <c r="L161" i="6" s="1"/>
  <c r="Q161" i="6" s="1"/>
  <c r="F230" i="6"/>
  <c r="L230" i="6" s="1"/>
  <c r="Q230" i="6" s="1"/>
  <c r="M230" i="6"/>
  <c r="Q45" i="9"/>
  <c r="F57" i="6"/>
  <c r="L57" i="6" s="1"/>
  <c r="Q57" i="6" s="1"/>
  <c r="M57" i="6"/>
  <c r="Q108" i="6"/>
  <c r="Q133" i="9"/>
  <c r="F77" i="6"/>
  <c r="L77" i="6" s="1"/>
  <c r="Q77" i="6" s="1"/>
  <c r="F116" i="6"/>
  <c r="L116" i="6" s="1"/>
  <c r="Q116" i="6" s="1"/>
  <c r="F61" i="6"/>
  <c r="L61" i="6" s="1"/>
  <c r="Q61" i="6" s="1"/>
  <c r="Q82" i="9"/>
  <c r="Q200" i="6"/>
  <c r="Q259" i="6"/>
  <c r="M55" i="6"/>
  <c r="F55" i="6"/>
  <c r="L55" i="6" s="1"/>
  <c r="Q55" i="6" s="1"/>
  <c r="M48" i="6"/>
  <c r="F48" i="6"/>
  <c r="L48" i="6" s="1"/>
  <c r="Q48" i="6" s="1"/>
  <c r="F69" i="6"/>
  <c r="L69" i="6" s="1"/>
  <c r="Q69" i="6" s="1"/>
  <c r="F120" i="6"/>
  <c r="L120" i="6" s="1"/>
  <c r="Q120" i="6" s="1"/>
  <c r="Q104" i="6"/>
  <c r="Q28" i="9"/>
  <c r="Q47" i="9"/>
  <c r="Q117" i="9"/>
  <c r="Q124" i="9"/>
  <c r="Q217" i="6"/>
  <c r="M44" i="6"/>
  <c r="F44" i="6"/>
  <c r="L44" i="6" s="1"/>
  <c r="Q44" i="6" s="1"/>
  <c r="M118" i="6"/>
  <c r="M122" i="6"/>
  <c r="Q226" i="6"/>
  <c r="Q250" i="6"/>
  <c r="Q16" i="9"/>
  <c r="Q51" i="9"/>
</calcChain>
</file>

<file path=xl/sharedStrings.xml><?xml version="1.0" encoding="utf-8"?>
<sst xmlns="http://schemas.openxmlformats.org/spreadsheetml/2006/main" count="835" uniqueCount="100">
  <si>
    <t xml:space="preserve">  $'000</t>
  </si>
  <si>
    <t>Joint</t>
  </si>
  <si>
    <t>Sinking</t>
  </si>
  <si>
    <t xml:space="preserve">Savings </t>
  </si>
  <si>
    <t>Foreign</t>
  </si>
  <si>
    <t>IMF</t>
  </si>
  <si>
    <t>Other</t>
  </si>
  <si>
    <t>Net</t>
  </si>
  <si>
    <t>Fund for</t>
  </si>
  <si>
    <t>Bank</t>
  </si>
  <si>
    <t>End of</t>
  </si>
  <si>
    <t>Reserve</t>
  </si>
  <si>
    <t>SDR</t>
  </si>
  <si>
    <t>Position</t>
  </si>
  <si>
    <t>Domestic</t>
  </si>
  <si>
    <t>Period</t>
  </si>
  <si>
    <t>Tranche</t>
  </si>
  <si>
    <t>Holdings</t>
  </si>
  <si>
    <t>Assets</t>
  </si>
  <si>
    <t>(Demand)</t>
  </si>
  <si>
    <t>Fund</t>
  </si>
  <si>
    <t>Debt</t>
  </si>
  <si>
    <t>1977</t>
  </si>
  <si>
    <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</si>
  <si>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</si>
  <si>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</si>
  <si>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</si>
  <si>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</si>
  <si>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</si>
  <si>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</si>
  <si>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</si>
  <si>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</si>
  <si>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</si>
  <si>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</si>
  <si>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</si>
  <si>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</si>
  <si>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</si>
  <si>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</si>
  <si>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</si>
  <si>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</si>
  <si>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</si>
  <si>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</si>
  <si>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</si>
  <si>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</si>
  <si>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</si>
  <si>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</si>
  <si>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</si>
  <si>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</si>
  <si>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Liabilities</t>
  </si>
  <si>
    <t>2002</t>
  </si>
  <si>
    <t>Deposits</t>
  </si>
  <si>
    <t>With</t>
  </si>
  <si>
    <t>Banks</t>
  </si>
  <si>
    <t>Central Government</t>
  </si>
  <si>
    <t>Central Bank</t>
  </si>
  <si>
    <t>2003</t>
  </si>
  <si>
    <t xml:space="preserve">Deposit </t>
  </si>
  <si>
    <t xml:space="preserve">Antigua </t>
  </si>
  <si>
    <t xml:space="preserve"> </t>
  </si>
  <si>
    <t>2008</t>
  </si>
  <si>
    <t>2009</t>
  </si>
  <si>
    <t>2010</t>
  </si>
  <si>
    <t xml:space="preserve">Gross Official </t>
  </si>
  <si>
    <t xml:space="preserve">International </t>
  </si>
  <si>
    <t>Reserves</t>
  </si>
  <si>
    <t>Investments</t>
  </si>
  <si>
    <t xml:space="preserve">Long Term </t>
  </si>
  <si>
    <t>2011</t>
  </si>
  <si>
    <t>2004</t>
  </si>
  <si>
    <t>2005</t>
  </si>
  <si>
    <t>2006</t>
  </si>
  <si>
    <t>2007</t>
  </si>
  <si>
    <t>The Government of Belize became a member of the International Monetary Fund in 1982 with a subscription of SDR 7,200,000 of which SDR 1,320,600 was paid in foreign currency (the Reserve Tranche) and the remainder in Belize dollars made up of currency and non-interest bearing promissory notes. The reserve tranche was subsequently purchased by the Central Bank from the Government of Belize.</t>
  </si>
  <si>
    <t>2012</t>
  </si>
  <si>
    <t>2013</t>
  </si>
  <si>
    <t>Consolidated</t>
  </si>
  <si>
    <t xml:space="preserve"> (Short-Term)</t>
  </si>
  <si>
    <t>(Short-Term)</t>
  </si>
  <si>
    <t>Mar</t>
  </si>
  <si>
    <t>June</t>
  </si>
  <si>
    <t>Sept</t>
  </si>
  <si>
    <t>Dec</t>
  </si>
  <si>
    <t>At 31 December, 1993, the Bank’s subscription to the International Monetary Fund amounted to SDR 13,500,000 and the Reserve Tranche amounted to SDR 2,913,690.</t>
  </si>
  <si>
    <t xml:space="preserve">Net </t>
  </si>
  <si>
    <t xml:space="preserve">Foreign </t>
  </si>
  <si>
    <t>TABLE 2: FOREIGN ASSETS</t>
  </si>
  <si>
    <t>Jan</t>
  </si>
  <si>
    <t>Feb</t>
  </si>
  <si>
    <t>Apr</t>
  </si>
  <si>
    <t>May</t>
  </si>
  <si>
    <t>July</t>
  </si>
  <si>
    <t>Aug</t>
  </si>
  <si>
    <t>Oct</t>
  </si>
  <si>
    <t>Nov</t>
  </si>
  <si>
    <t>0</t>
  </si>
  <si>
    <t>Domestic Banks</t>
  </si>
  <si>
    <r>
      <t xml:space="preserve">Central Bank’s Demand Foreign Liabilities: </t>
    </r>
    <r>
      <rPr>
        <sz val="12"/>
        <rFont val="Arial"/>
        <family val="2"/>
      </rPr>
      <t>Include the Bank’s liabilities to 1) The CARICOM Bilateral Clearing Facility, 2) Deposits by foreign governments and institutions abroad, 3) Holdings of Citicorp’s Travellers cheques (Trust Account) up to 30th August 2013.</t>
    </r>
  </si>
  <si>
    <r>
      <t xml:space="preserve">Central Bank’s Long-term Liabilities: </t>
    </r>
    <r>
      <rPr>
        <sz val="12"/>
        <rFont val="Arial"/>
        <family val="2"/>
      </rPr>
      <t>Include the Bank’s liabilities to 1) Central Bank Building Bonds, 2) Loan from International Bank of Miami, 3) Loan from Citicorp Merchant Bank Ltd. of Trinidad and 4) Loan from Citibank Trinidad &amp; Tobago.</t>
    </r>
  </si>
  <si>
    <r>
      <t>Central Bank SDR Holdings:</t>
    </r>
    <r>
      <rPr>
        <sz val="12"/>
        <rFont val="Arial"/>
        <family val="2"/>
      </rPr>
      <t xml:space="preserve"> Include the new Special Drawings Rights (SDR) allocations from the IMF of $56.0mn assigned at the end of August 2009 and early September 2009.</t>
    </r>
  </si>
  <si>
    <r>
      <t xml:space="preserve">Domestic Banks’ Foreign Assets: </t>
    </r>
    <r>
      <rPr>
        <sz val="12"/>
        <rFont val="Arial"/>
        <family val="2"/>
      </rPr>
      <t>Exclude US$6.0mn deposited by Central Government, which is reported as part of Official International Reserves in accordance with standard definitions, as of April 2002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</si>
</sst>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quot;$&quot;* #,##0.00_-;\-&quot;$&quot;* #,##0.00_-;_-&quot;$&quot;* &quot;-&quot;??_-;_-@_-"/>
    <numFmt numFmtId="165" formatCode="_-* #,##0.00_-;\-* #,##0.00_-;_-* &quot;-&quot;??_-;_-@_-"/>
    <numFmt numFmtId="166" formatCode="_(* #,##0_);_(* \(#,##0\);_(* &quot;-&quot;??_);_(@_)"/>
    <numFmt numFmtId="167" formatCode="0_)"/>
    <numFmt numFmtId="168" formatCode="0.0%"/>
  </numFmts>
  <fonts count="48" x14ac:knownFonts="1">
    <font>
      <sz val="10"/>
      <name val="Courier"/>
    </font>
    <font>
      <sz val="11"/>
      <color theme="1"/>
      <name val="Calibri"/>
      <family val="2"/>
      <scheme val="minor"/>
    </font>
    <font>
      <sz val="11"/>
      <color theme="1"/>
      <name val="Calibri"/>
      <family val="2"/>
      <scheme val="minor"/>
    </font>
    <font>
      <sz val="12"/>
      <name val="Times New Roman"/>
      <family val="1"/>
    </font>
    <font>
      <sz val="8"/>
      <name val="Arial"/>
      <family val="2"/>
    </font>
    <font>
      <b/>
      <sz val="12"/>
      <name val="Arial"/>
      <family val="2"/>
    </font>
    <font>
      <sz val="10"/>
      <name val="Courier"/>
      <family val="3"/>
    </font>
    <font>
      <sz val="10"/>
      <name val="Arial"/>
      <family val="2"/>
    </font>
    <font>
      <b/>
      <sz val="10"/>
      <name val="Arial"/>
      <family val="2"/>
    </font>
    <font>
      <sz val="10"/>
      <color theme="1"/>
      <name val="Arial"/>
      <family val="2"/>
    </font>
    <font>
      <b/>
      <u/>
      <sz val="12"/>
      <name val="Arial"/>
      <family val="2"/>
    </font>
    <font>
      <sz val="12"/>
      <name val="Arial"/>
      <family val="2"/>
    </font>
    <font>
      <sz val="10"/>
      <name val="Courie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Times New Roman"/>
      <family val="1"/>
    </font>
    <font>
      <b/>
      <sz val="18"/>
      <color theme="3"/>
      <name val="Cambria"/>
      <family val="2"/>
      <scheme val="major"/>
    </font>
    <font>
      <sz val="11"/>
      <color rgb="FF9C6500"/>
      <name val="Calibri"/>
      <family val="2"/>
      <scheme val="minor"/>
    </font>
    <font>
      <u/>
      <sz val="12"/>
      <color indexed="12"/>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s>
  <fills count="56">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6">
    <border>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565">
    <xf numFmtId="37" fontId="0" fillId="0" borderId="0"/>
    <xf numFmtId="43" fontId="3" fillId="0" borderId="0" applyFont="0" applyFill="0" applyBorder="0" applyAlignment="0" applyProtection="0"/>
    <xf numFmtId="37" fontId="6" fillId="0" borderId="0"/>
    <xf numFmtId="37" fontId="12" fillId="0" borderId="0"/>
    <xf numFmtId="0" fontId="13" fillId="0" borderId="8" applyNumberFormat="0" applyFill="0" applyAlignment="0" applyProtection="0"/>
    <xf numFmtId="0" fontId="14" fillId="0" borderId="9" applyNumberFormat="0" applyFill="0" applyAlignment="0" applyProtection="0"/>
    <xf numFmtId="0" fontId="15" fillId="0" borderId="10"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6" borderId="11" applyNumberFormat="0" applyAlignment="0" applyProtection="0"/>
    <xf numFmtId="0" fontId="19" fillId="7" borderId="12" applyNumberFormat="0" applyAlignment="0" applyProtection="0"/>
    <xf numFmtId="0" fontId="20" fillId="7" borderId="11" applyNumberFormat="0" applyAlignment="0" applyProtection="0"/>
    <xf numFmtId="0" fontId="21" fillId="0" borderId="13" applyNumberFormat="0" applyFill="0" applyAlignment="0" applyProtection="0"/>
    <xf numFmtId="0" fontId="22" fillId="8" borderId="14" applyNumberFormat="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16" applyNumberFormat="0" applyFill="0" applyAlignment="0" applyProtection="0"/>
    <xf numFmtId="0" fontId="26"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6"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6"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6"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6"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6"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7" fillId="0" borderId="0"/>
    <xf numFmtId="165" fontId="3" fillId="0" borderId="0" applyFont="0" applyFill="0" applyBorder="0" applyAlignment="0" applyProtection="0"/>
    <xf numFmtId="0" fontId="28" fillId="0" borderId="0" applyNumberFormat="0" applyFill="0" applyBorder="0" applyAlignment="0" applyProtection="0"/>
    <xf numFmtId="0" fontId="29" fillId="5" borderId="0" applyNumberFormat="0" applyBorder="0" applyAlignment="0" applyProtection="0"/>
    <xf numFmtId="0" fontId="26" fillId="13" borderId="0" applyNumberFormat="0" applyBorder="0" applyAlignment="0" applyProtection="0"/>
    <xf numFmtId="0" fontId="26" fillId="17" borderId="0" applyNumberFormat="0" applyBorder="0" applyAlignment="0" applyProtection="0"/>
    <xf numFmtId="0" fontId="26" fillId="21" borderId="0" applyNumberFormat="0" applyBorder="0" applyAlignment="0" applyProtection="0"/>
    <xf numFmtId="0" fontId="26" fillId="25" borderId="0" applyNumberFormat="0" applyBorder="0" applyAlignment="0" applyProtection="0"/>
    <xf numFmtId="0" fontId="26" fillId="29" borderId="0" applyNumberFormat="0" applyBorder="0" applyAlignment="0" applyProtection="0"/>
    <xf numFmtId="0" fontId="26" fillId="33" borderId="0" applyNumberFormat="0" applyBorder="0" applyAlignment="0" applyProtection="0"/>
    <xf numFmtId="0" fontId="2" fillId="0" borderId="0"/>
    <xf numFmtId="0" fontId="2" fillId="9" borderId="15" applyNumberFormat="0" applyFont="0" applyAlignment="0" applyProtection="0"/>
    <xf numFmtId="0" fontId="3" fillId="0" borderId="0"/>
    <xf numFmtId="0" fontId="31" fillId="34" borderId="0" applyNumberFormat="0" applyBorder="0" applyAlignment="0" applyProtection="0"/>
    <xf numFmtId="0" fontId="30" fillId="0" borderId="0" applyNumberFormat="0" applyFill="0" applyBorder="0" applyAlignment="0" applyProtection="0">
      <alignment vertical="top"/>
      <protection locked="0"/>
    </xf>
    <xf numFmtId="0" fontId="31" fillId="35" borderId="0" applyNumberFormat="0" applyBorder="0" applyAlignment="0" applyProtection="0"/>
    <xf numFmtId="0" fontId="31" fillId="36" borderId="0" applyNumberFormat="0" applyBorder="0" applyAlignment="0" applyProtection="0"/>
    <xf numFmtId="0" fontId="31" fillId="37" borderId="0" applyNumberFormat="0" applyBorder="0" applyAlignment="0" applyProtection="0"/>
    <xf numFmtId="0" fontId="31" fillId="38" borderId="0" applyNumberFormat="0" applyBorder="0" applyAlignment="0" applyProtection="0"/>
    <xf numFmtId="0" fontId="31" fillId="39" borderId="0" applyNumberFormat="0" applyBorder="0" applyAlignment="0" applyProtection="0"/>
    <xf numFmtId="0" fontId="31" fillId="40" borderId="0" applyNumberFormat="0" applyBorder="0" applyAlignment="0" applyProtection="0"/>
    <xf numFmtId="0" fontId="31" fillId="41" borderId="0" applyNumberFormat="0" applyBorder="0" applyAlignment="0" applyProtection="0"/>
    <xf numFmtId="0" fontId="31" fillId="42" borderId="0" applyNumberFormat="0" applyBorder="0" applyAlignment="0" applyProtection="0"/>
    <xf numFmtId="0" fontId="31" fillId="37" borderId="0" applyNumberFormat="0" applyBorder="0" applyAlignment="0" applyProtection="0"/>
    <xf numFmtId="0" fontId="31" fillId="40" borderId="0" applyNumberFormat="0" applyBorder="0" applyAlignment="0" applyProtection="0"/>
    <xf numFmtId="0" fontId="31" fillId="43" borderId="0" applyNumberFormat="0" applyBorder="0" applyAlignment="0" applyProtection="0"/>
    <xf numFmtId="0" fontId="32" fillId="44" borderId="0" applyNumberFormat="0" applyBorder="0" applyAlignment="0" applyProtection="0"/>
    <xf numFmtId="0" fontId="32" fillId="41" borderId="0" applyNumberFormat="0" applyBorder="0" applyAlignment="0" applyProtection="0"/>
    <xf numFmtId="0" fontId="32" fillId="42" borderId="0" applyNumberFormat="0" applyBorder="0" applyAlignment="0" applyProtection="0"/>
    <xf numFmtId="0" fontId="32" fillId="45"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48" borderId="0" applyNumberFormat="0" applyBorder="0" applyAlignment="0" applyProtection="0"/>
    <xf numFmtId="0" fontId="32" fillId="49" borderId="0" applyNumberFormat="0" applyBorder="0" applyAlignment="0" applyProtection="0"/>
    <xf numFmtId="0" fontId="32" fillId="50" borderId="0" applyNumberFormat="0" applyBorder="0" applyAlignment="0" applyProtection="0"/>
    <xf numFmtId="0" fontId="32" fillId="45" borderId="0" applyNumberFormat="0" applyBorder="0" applyAlignment="0" applyProtection="0"/>
    <xf numFmtId="0" fontId="32" fillId="46" borderId="0" applyNumberFormat="0" applyBorder="0" applyAlignment="0" applyProtection="0"/>
    <xf numFmtId="0" fontId="32" fillId="51" borderId="0" applyNumberFormat="0" applyBorder="0" applyAlignment="0" applyProtection="0"/>
    <xf numFmtId="0" fontId="33" fillId="35" borderId="0" applyNumberFormat="0" applyBorder="0" applyAlignment="0" applyProtection="0"/>
    <xf numFmtId="0" fontId="34" fillId="52" borderId="17" applyNumberFormat="0" applyAlignment="0" applyProtection="0"/>
    <xf numFmtId="0" fontId="35" fillId="53" borderId="18" applyNumberFormat="0" applyAlignment="0" applyProtection="0"/>
    <xf numFmtId="164" fontId="3" fillId="0" borderId="0" applyFont="0" applyFill="0" applyBorder="0" applyAlignment="0" applyProtection="0"/>
    <xf numFmtId="0" fontId="36" fillId="0" borderId="0" applyNumberFormat="0" applyFill="0" applyBorder="0" applyAlignment="0" applyProtection="0"/>
    <xf numFmtId="0" fontId="37" fillId="36" borderId="0" applyNumberFormat="0" applyBorder="0" applyAlignment="0" applyProtection="0"/>
    <xf numFmtId="0" fontId="38" fillId="0" borderId="19" applyNumberFormat="0" applyFill="0" applyAlignment="0" applyProtection="0"/>
    <xf numFmtId="0" fontId="39" fillId="0" borderId="20" applyNumberFormat="0" applyFill="0" applyAlignment="0" applyProtection="0"/>
    <xf numFmtId="0" fontId="40" fillId="0" borderId="21" applyNumberFormat="0" applyFill="0" applyAlignment="0" applyProtection="0"/>
    <xf numFmtId="0" fontId="40" fillId="0" borderId="0" applyNumberFormat="0" applyFill="0" applyBorder="0" applyAlignment="0" applyProtection="0"/>
    <xf numFmtId="0" fontId="41" fillId="39" borderId="17" applyNumberFormat="0" applyAlignment="0" applyProtection="0"/>
    <xf numFmtId="0" fontId="42" fillId="0" borderId="22" applyNumberFormat="0" applyFill="0" applyAlignment="0" applyProtection="0"/>
    <xf numFmtId="0" fontId="43" fillId="54" borderId="0" applyNumberFormat="0" applyBorder="0" applyAlignment="0" applyProtection="0"/>
    <xf numFmtId="0" fontId="3" fillId="55" borderId="23" applyNumberFormat="0" applyFont="0" applyAlignment="0" applyProtection="0"/>
    <xf numFmtId="0" fontId="44" fillId="52" borderId="24" applyNumberFormat="0" applyAlignment="0" applyProtection="0"/>
    <xf numFmtId="0" fontId="45" fillId="0" borderId="0" applyNumberFormat="0" applyFill="0" applyBorder="0" applyAlignment="0" applyProtection="0"/>
    <xf numFmtId="0" fontId="46" fillId="0" borderId="25" applyNumberFormat="0" applyFill="0" applyAlignment="0" applyProtection="0"/>
    <xf numFmtId="0" fontId="47" fillId="0" borderId="0" applyNumberFormat="0" applyFill="0" applyBorder="0" applyAlignment="0" applyProtection="0"/>
    <xf numFmtId="0" fontId="2" fillId="9" borderId="15" applyNumberFormat="0" applyFont="0" applyAlignment="0" applyProtection="0"/>
    <xf numFmtId="0" fontId="2" fillId="12"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6"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9" borderId="15" applyNumberFormat="0" applyFont="0" applyAlignment="0" applyProtection="0"/>
    <xf numFmtId="0" fontId="2" fillId="31" borderId="0" applyNumberFormat="0" applyBorder="0" applyAlignment="0" applyProtection="0"/>
    <xf numFmtId="0" fontId="2" fillId="32"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7" fillId="0" borderId="0"/>
    <xf numFmtId="165" fontId="7" fillId="0" borderId="0" applyFont="0" applyFill="0" applyBorder="0" applyAlignment="0" applyProtection="0"/>
    <xf numFmtId="0" fontId="7" fillId="55" borderId="23"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7" fillId="0" borderId="0"/>
    <xf numFmtId="165" fontId="3" fillId="0" borderId="0" applyFont="0" applyFill="0" applyBorder="0" applyAlignment="0" applyProtection="0"/>
    <xf numFmtId="0" fontId="2" fillId="0" borderId="0"/>
    <xf numFmtId="0" fontId="2" fillId="9" borderId="15" applyNumberFormat="0" applyFont="0" applyAlignment="0" applyProtection="0"/>
    <xf numFmtId="0" fontId="2" fillId="9" borderId="15" applyNumberFormat="0" applyFont="0" applyAlignment="0" applyProtection="0"/>
    <xf numFmtId="0" fontId="2" fillId="12"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6"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9" borderId="15" applyNumberFormat="0" applyFont="0" applyAlignment="0" applyProtection="0"/>
    <xf numFmtId="0" fontId="2" fillId="31" borderId="0" applyNumberFormat="0" applyBorder="0" applyAlignment="0" applyProtection="0"/>
    <xf numFmtId="0" fontId="2" fillId="32"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7" fillId="0" borderId="0"/>
    <xf numFmtId="165"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7" fillId="0" borderId="0"/>
    <xf numFmtId="165" fontId="3" fillId="0" borderId="0" applyFont="0" applyFill="0" applyBorder="0" applyAlignment="0" applyProtection="0"/>
    <xf numFmtId="0" fontId="2" fillId="0" borderId="0"/>
    <xf numFmtId="0" fontId="2" fillId="9" borderId="15" applyNumberFormat="0" applyFont="0" applyAlignment="0" applyProtection="0"/>
    <xf numFmtId="0" fontId="2" fillId="9" borderId="15" applyNumberFormat="0" applyFont="0" applyAlignment="0" applyProtection="0"/>
    <xf numFmtId="0" fontId="2" fillId="12"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6"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9" borderId="15" applyNumberFormat="0" applyFont="0" applyAlignment="0" applyProtection="0"/>
    <xf numFmtId="0" fontId="2" fillId="31" borderId="0" applyNumberFormat="0" applyBorder="0" applyAlignment="0" applyProtection="0"/>
    <xf numFmtId="0" fontId="2" fillId="32"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5" applyNumberFormat="0" applyFont="0" applyAlignment="0" applyProtection="0"/>
    <xf numFmtId="0" fontId="2" fillId="9" borderId="15" applyNumberFormat="0" applyFont="0" applyAlignment="0" applyProtection="0"/>
    <xf numFmtId="0" fontId="2" fillId="12"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6"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9" borderId="15" applyNumberFormat="0" applyFont="0" applyAlignment="0" applyProtection="0"/>
    <xf numFmtId="0" fontId="2" fillId="31" borderId="0" applyNumberFormat="0" applyBorder="0" applyAlignment="0" applyProtection="0"/>
    <xf numFmtId="0" fontId="2" fillId="32"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7" fontId="6"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5" applyNumberFormat="0" applyFont="0" applyAlignment="0" applyProtection="0"/>
    <xf numFmtId="0" fontId="1" fillId="9" borderId="15" applyNumberFormat="0" applyFont="0" applyAlignment="0" applyProtection="0"/>
    <xf numFmtId="0" fontId="1" fillId="1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9" borderId="15" applyNumberFormat="0" applyFont="0" applyAlignment="0" applyProtection="0"/>
    <xf numFmtId="0" fontId="1" fillId="31" borderId="0" applyNumberFormat="0" applyBorder="0" applyAlignment="0" applyProtection="0"/>
    <xf numFmtId="0" fontId="1" fillId="32"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5" applyNumberFormat="0" applyFont="0" applyAlignment="0" applyProtection="0"/>
    <xf numFmtId="0" fontId="1" fillId="9" borderId="15" applyNumberFormat="0" applyFont="0" applyAlignment="0" applyProtection="0"/>
    <xf numFmtId="0" fontId="1" fillId="1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9" borderId="15" applyNumberFormat="0" applyFont="0" applyAlignment="0" applyProtection="0"/>
    <xf numFmtId="0" fontId="1" fillId="31" borderId="0" applyNumberFormat="0" applyBorder="0" applyAlignment="0" applyProtection="0"/>
    <xf numFmtId="0" fontId="1" fillId="32"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5" applyNumberFormat="0" applyFont="0" applyAlignment="0" applyProtection="0"/>
    <xf numFmtId="0" fontId="1" fillId="9" borderId="15" applyNumberFormat="0" applyFont="0" applyAlignment="0" applyProtection="0"/>
    <xf numFmtId="0" fontId="1" fillId="1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9" borderId="15" applyNumberFormat="0" applyFont="0" applyAlignment="0" applyProtection="0"/>
    <xf numFmtId="0" fontId="1" fillId="31" borderId="0" applyNumberFormat="0" applyBorder="0" applyAlignment="0" applyProtection="0"/>
    <xf numFmtId="0" fontId="1" fillId="32"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5" applyNumberFormat="0" applyFont="0" applyAlignment="0" applyProtection="0"/>
    <xf numFmtId="0" fontId="1" fillId="9" borderId="15" applyNumberFormat="0" applyFont="0" applyAlignment="0" applyProtection="0"/>
    <xf numFmtId="0" fontId="1" fillId="1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9" borderId="15" applyNumberFormat="0" applyFont="0" applyAlignment="0" applyProtection="0"/>
    <xf numFmtId="0" fontId="1" fillId="31" borderId="0" applyNumberFormat="0" applyBorder="0" applyAlignment="0" applyProtection="0"/>
    <xf numFmtId="0" fontId="1" fillId="32"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2" fillId="0" borderId="0" applyFont="0" applyFill="0" applyBorder="0" applyAlignment="0" applyProtection="0"/>
  </cellStyleXfs>
  <cellXfs count="52">
    <xf numFmtId="37" fontId="0" fillId="0" borderId="0" xfId="0"/>
    <xf numFmtId="3" fontId="0" fillId="0" borderId="0" xfId="0" applyNumberFormat="1"/>
    <xf numFmtId="3" fontId="4" fillId="0" borderId="0" xfId="0" applyNumberFormat="1" applyFont="1"/>
    <xf numFmtId="3" fontId="5" fillId="0" borderId="0" xfId="0" applyNumberFormat="1" applyFont="1"/>
    <xf numFmtId="3" fontId="4" fillId="0" borderId="0" xfId="0" applyNumberFormat="1" applyFont="1" applyAlignment="1">
      <alignment horizontal="fill"/>
    </xf>
    <xf numFmtId="3" fontId="8" fillId="0" borderId="1" xfId="0" applyNumberFormat="1" applyFont="1" applyBorder="1"/>
    <xf numFmtId="3" fontId="8" fillId="0" borderId="4" xfId="0" applyNumberFormat="1" applyFont="1" applyBorder="1"/>
    <xf numFmtId="3" fontId="8" fillId="0" borderId="5" xfId="0" quotePrefix="1" applyNumberFormat="1" applyFont="1" applyBorder="1" applyAlignment="1">
      <alignment horizontal="center"/>
    </xf>
    <xf numFmtId="3" fontId="8" fillId="0" borderId="5" xfId="0" applyNumberFormat="1" applyFont="1" applyBorder="1" applyAlignment="1">
      <alignment horizontal="center"/>
    </xf>
    <xf numFmtId="3" fontId="8" fillId="0" borderId="0" xfId="0" applyNumberFormat="1" applyFont="1" applyAlignment="1">
      <alignment horizontal="right"/>
    </xf>
    <xf numFmtId="3" fontId="6" fillId="0" borderId="0" xfId="0" applyNumberFormat="1" applyFont="1"/>
    <xf numFmtId="37" fontId="7" fillId="0" borderId="0" xfId="0" applyFont="1"/>
    <xf numFmtId="166" fontId="7" fillId="0" borderId="0" xfId="1" applyNumberFormat="1" applyFont="1" applyBorder="1"/>
    <xf numFmtId="3" fontId="8" fillId="0" borderId="0" xfId="0" applyNumberFormat="1" applyFont="1"/>
    <xf numFmtId="3" fontId="7" fillId="0" borderId="0" xfId="0" applyNumberFormat="1" applyFont="1"/>
    <xf numFmtId="166" fontId="7" fillId="0" borderId="0" xfId="1" applyNumberFormat="1" applyFont="1" applyFill="1" applyBorder="1"/>
    <xf numFmtId="37" fontId="7" fillId="0" borderId="0" xfId="0" quotePrefix="1" applyFont="1" applyAlignment="1">
      <alignment horizontal="left"/>
    </xf>
    <xf numFmtId="0" fontId="7" fillId="0" borderId="0" xfId="1" quotePrefix="1" applyNumberFormat="1" applyFont="1" applyFill="1" applyBorder="1" applyAlignment="1">
      <alignment horizontal="center"/>
    </xf>
    <xf numFmtId="167" fontId="7" fillId="0" borderId="0" xfId="1" applyNumberFormat="1" applyFont="1" applyFill="1" applyBorder="1"/>
    <xf numFmtId="166" fontId="7" fillId="0" borderId="0" xfId="1" applyNumberFormat="1" applyFont="1" applyFill="1" applyBorder="1" applyAlignment="1">
      <alignment horizontal="right"/>
    </xf>
    <xf numFmtId="3" fontId="7" fillId="0" borderId="0" xfId="0" quotePrefix="1" applyNumberFormat="1" applyFont="1" applyAlignment="1">
      <alignment horizontal="left"/>
    </xf>
    <xf numFmtId="37" fontId="7" fillId="0" borderId="0" xfId="2" applyFont="1"/>
    <xf numFmtId="3" fontId="8" fillId="0" borderId="0" xfId="0" quotePrefix="1" applyNumberFormat="1" applyFont="1" applyAlignment="1">
      <alignment horizontal="left"/>
    </xf>
    <xf numFmtId="37" fontId="7" fillId="0" borderId="0" xfId="0" applyFont="1" applyAlignment="1">
      <alignment horizontal="right"/>
    </xf>
    <xf numFmtId="0" fontId="8" fillId="0" borderId="0" xfId="0" quotePrefix="1" applyNumberFormat="1" applyFont="1" applyAlignment="1">
      <alignment horizontal="left"/>
    </xf>
    <xf numFmtId="3" fontId="8" fillId="0" borderId="7" xfId="0" applyNumberFormat="1" applyFont="1" applyBorder="1" applyAlignment="1">
      <alignment horizontal="center"/>
    </xf>
    <xf numFmtId="3" fontId="8" fillId="0" borderId="7" xfId="0" quotePrefix="1" applyNumberFormat="1" applyFont="1" applyBorder="1" applyAlignment="1">
      <alignment horizontal="center"/>
    </xf>
    <xf numFmtId="3" fontId="7" fillId="0" borderId="0" xfId="1" quotePrefix="1" applyNumberFormat="1" applyFont="1" applyFill="1" applyBorder="1" applyAlignment="1" applyProtection="1">
      <alignment horizontal="right"/>
    </xf>
    <xf numFmtId="3" fontId="7" fillId="0" borderId="0" xfId="1" applyNumberFormat="1" applyFont="1" applyBorder="1"/>
    <xf numFmtId="3" fontId="7" fillId="0" borderId="0" xfId="0" applyNumberFormat="1" applyFont="1" applyAlignment="1">
      <alignment horizontal="right"/>
    </xf>
    <xf numFmtId="3" fontId="7" fillId="0" borderId="0" xfId="2" applyNumberFormat="1" applyFont="1"/>
    <xf numFmtId="3" fontId="7" fillId="0" borderId="0" xfId="1" quotePrefix="1" applyNumberFormat="1" applyFont="1" applyBorder="1" applyAlignment="1">
      <alignment horizontal="right"/>
    </xf>
    <xf numFmtId="3" fontId="9" fillId="0" borderId="0" xfId="2" applyNumberFormat="1" applyFont="1"/>
    <xf numFmtId="0" fontId="7" fillId="0" borderId="0" xfId="1" quotePrefix="1" applyNumberFormat="1" applyFont="1" applyFill="1" applyBorder="1" applyAlignment="1">
      <alignment horizontal="right"/>
    </xf>
    <xf numFmtId="37" fontId="11" fillId="0" borderId="0" xfId="0" applyFont="1"/>
    <xf numFmtId="37" fontId="11" fillId="2" borderId="0" xfId="0" applyFont="1" applyFill="1" applyAlignment="1">
      <alignment horizontal="justify"/>
    </xf>
    <xf numFmtId="37" fontId="11" fillId="2" borderId="0" xfId="0" applyFont="1" applyFill="1"/>
    <xf numFmtId="37" fontId="11" fillId="2" borderId="0" xfId="0" applyFont="1" applyFill="1" applyAlignment="1">
      <alignment horizontal="left"/>
    </xf>
    <xf numFmtId="37" fontId="11" fillId="0" borderId="0" xfId="0" applyFont="1" applyAlignment="1">
      <alignment wrapText="1"/>
    </xf>
    <xf numFmtId="3" fontId="7" fillId="0" borderId="0" xfId="1" applyNumberFormat="1" applyFont="1" applyFill="1" applyBorder="1"/>
    <xf numFmtId="3" fontId="7" fillId="0" borderId="0" xfId="1" applyNumberFormat="1" applyFont="1" applyBorder="1" applyAlignment="1">
      <alignment horizontal="right"/>
    </xf>
    <xf numFmtId="37" fontId="4" fillId="0" borderId="0" xfId="0" applyFont="1" applyAlignment="1">
      <alignment horizontal="right"/>
    </xf>
    <xf numFmtId="3" fontId="12" fillId="0" borderId="0" xfId="0" applyNumberFormat="1" applyFont="1"/>
    <xf numFmtId="3" fontId="7" fillId="0" borderId="0" xfId="3" applyNumberFormat="1" applyFont="1"/>
    <xf numFmtId="168" fontId="0" fillId="0" borderId="0" xfId="564" applyNumberFormat="1" applyFont="1"/>
    <xf numFmtId="3" fontId="5" fillId="0" borderId="0" xfId="0" applyNumberFormat="1" applyFont="1" applyAlignment="1">
      <alignment horizontal="center"/>
    </xf>
    <xf numFmtId="3" fontId="8" fillId="0" borderId="6" xfId="0" applyNumberFormat="1" applyFont="1" applyBorder="1" applyAlignment="1">
      <alignment horizontal="center"/>
    </xf>
    <xf numFmtId="37" fontId="0" fillId="0" borderId="2" xfId="0" applyBorder="1" applyAlignment="1">
      <alignment horizontal="center"/>
    </xf>
    <xf numFmtId="37" fontId="0" fillId="0" borderId="3" xfId="0" applyBorder="1" applyAlignment="1">
      <alignment horizontal="center"/>
    </xf>
    <xf numFmtId="37" fontId="10" fillId="2" borderId="0" xfId="0" applyFont="1" applyFill="1" applyAlignment="1">
      <alignment horizontal="left" wrapText="1"/>
    </xf>
    <xf numFmtId="37" fontId="10" fillId="2" borderId="0" xfId="0" applyFont="1" applyFill="1" applyAlignment="1">
      <alignment horizontal="center"/>
    </xf>
    <xf numFmtId="37" fontId="11" fillId="2" borderId="0" xfId="0" applyFont="1" applyFill="1" applyAlignment="1">
      <alignment horizontal="left" wrapText="1"/>
    </xf>
  </cellXfs>
  <cellStyles count="565">
    <cellStyle name="20% - Accent1" xfId="19" builtinId="30" customBuiltin="1"/>
    <cellStyle name="20% - Accent1 2" xfId="49" xr:uid="{00000000-0005-0000-0000-000001000000}"/>
    <cellStyle name="20% - Accent1 3" xfId="94" xr:uid="{00000000-0005-0000-0000-000002000000}"/>
    <cellStyle name="20% - Accent1 3 2" xfId="146" xr:uid="{00000000-0005-0000-0000-000003000000}"/>
    <cellStyle name="20% - Accent1 3 2 2" xfId="264" xr:uid="{00000000-0005-0000-0000-000004000000}"/>
    <cellStyle name="20% - Accent1 3 2 2 2" xfId="503" xr:uid="{00000000-0005-0000-0000-000005000000}"/>
    <cellStyle name="20% - Accent1 3 2 3" xfId="389" xr:uid="{00000000-0005-0000-0000-000006000000}"/>
    <cellStyle name="20% - Accent1 3 3" xfId="217" xr:uid="{00000000-0005-0000-0000-000007000000}"/>
    <cellStyle name="20% - Accent1 3 3 2" xfId="456" xr:uid="{00000000-0005-0000-0000-000008000000}"/>
    <cellStyle name="20% - Accent1 3 4" xfId="342" xr:uid="{00000000-0005-0000-0000-000009000000}"/>
    <cellStyle name="20% - Accent1 4" xfId="96" xr:uid="{00000000-0005-0000-0000-00000A000000}"/>
    <cellStyle name="20% - Accent1 4 2" xfId="148" xr:uid="{00000000-0005-0000-0000-00000B000000}"/>
    <cellStyle name="20% - Accent1 4 2 2" xfId="266" xr:uid="{00000000-0005-0000-0000-00000C000000}"/>
    <cellStyle name="20% - Accent1 4 2 2 2" xfId="505" xr:uid="{00000000-0005-0000-0000-00000D000000}"/>
    <cellStyle name="20% - Accent1 4 2 3" xfId="391" xr:uid="{00000000-0005-0000-0000-00000E000000}"/>
    <cellStyle name="20% - Accent1 4 3" xfId="219" xr:uid="{00000000-0005-0000-0000-00000F000000}"/>
    <cellStyle name="20% - Accent1 4 3 2" xfId="458" xr:uid="{00000000-0005-0000-0000-000010000000}"/>
    <cellStyle name="20% - Accent1 4 4" xfId="344" xr:uid="{00000000-0005-0000-0000-000011000000}"/>
    <cellStyle name="20% - Accent1 5" xfId="128" xr:uid="{00000000-0005-0000-0000-000012000000}"/>
    <cellStyle name="20% - Accent1 5 2" xfId="248" xr:uid="{00000000-0005-0000-0000-000013000000}"/>
    <cellStyle name="20% - Accent1 5 2 2" xfId="487" xr:uid="{00000000-0005-0000-0000-000014000000}"/>
    <cellStyle name="20% - Accent1 5 3" xfId="373" xr:uid="{00000000-0005-0000-0000-000015000000}"/>
    <cellStyle name="20% - Accent1 6" xfId="199" xr:uid="{00000000-0005-0000-0000-000016000000}"/>
    <cellStyle name="20% - Accent1 6 2" xfId="440" xr:uid="{00000000-0005-0000-0000-000017000000}"/>
    <cellStyle name="20% - Accent1 7" xfId="326" xr:uid="{00000000-0005-0000-0000-000018000000}"/>
    <cellStyle name="20% - Accent2" xfId="22" builtinId="34" customBuiltin="1"/>
    <cellStyle name="20% - Accent2 2" xfId="51" xr:uid="{00000000-0005-0000-0000-00001A000000}"/>
    <cellStyle name="20% - Accent2 3" xfId="97" xr:uid="{00000000-0005-0000-0000-00001B000000}"/>
    <cellStyle name="20% - Accent2 3 2" xfId="149" xr:uid="{00000000-0005-0000-0000-00001C000000}"/>
    <cellStyle name="20% - Accent2 3 2 2" xfId="267" xr:uid="{00000000-0005-0000-0000-00001D000000}"/>
    <cellStyle name="20% - Accent2 3 2 2 2" xfId="506" xr:uid="{00000000-0005-0000-0000-00001E000000}"/>
    <cellStyle name="20% - Accent2 3 2 3" xfId="392" xr:uid="{00000000-0005-0000-0000-00001F000000}"/>
    <cellStyle name="20% - Accent2 3 3" xfId="220" xr:uid="{00000000-0005-0000-0000-000020000000}"/>
    <cellStyle name="20% - Accent2 3 3 2" xfId="459" xr:uid="{00000000-0005-0000-0000-000021000000}"/>
    <cellStyle name="20% - Accent2 3 4" xfId="345" xr:uid="{00000000-0005-0000-0000-000022000000}"/>
    <cellStyle name="20% - Accent2 4" xfId="104" xr:uid="{00000000-0005-0000-0000-000023000000}"/>
    <cellStyle name="20% - Accent2 4 2" xfId="156" xr:uid="{00000000-0005-0000-0000-000024000000}"/>
    <cellStyle name="20% - Accent2 4 2 2" xfId="274" xr:uid="{00000000-0005-0000-0000-000025000000}"/>
    <cellStyle name="20% - Accent2 4 2 2 2" xfId="513" xr:uid="{00000000-0005-0000-0000-000026000000}"/>
    <cellStyle name="20% - Accent2 4 2 3" xfId="399" xr:uid="{00000000-0005-0000-0000-000027000000}"/>
    <cellStyle name="20% - Accent2 4 3" xfId="227" xr:uid="{00000000-0005-0000-0000-000028000000}"/>
    <cellStyle name="20% - Accent2 4 3 2" xfId="466" xr:uid="{00000000-0005-0000-0000-000029000000}"/>
    <cellStyle name="20% - Accent2 4 4" xfId="352" xr:uid="{00000000-0005-0000-0000-00002A000000}"/>
    <cellStyle name="20% - Accent2 5" xfId="130" xr:uid="{00000000-0005-0000-0000-00002B000000}"/>
    <cellStyle name="20% - Accent2 5 2" xfId="250" xr:uid="{00000000-0005-0000-0000-00002C000000}"/>
    <cellStyle name="20% - Accent2 5 2 2" xfId="489" xr:uid="{00000000-0005-0000-0000-00002D000000}"/>
    <cellStyle name="20% - Accent2 5 3" xfId="375" xr:uid="{00000000-0005-0000-0000-00002E000000}"/>
    <cellStyle name="20% - Accent2 6" xfId="201" xr:uid="{00000000-0005-0000-0000-00002F000000}"/>
    <cellStyle name="20% - Accent2 6 2" xfId="442" xr:uid="{00000000-0005-0000-0000-000030000000}"/>
    <cellStyle name="20% - Accent2 7" xfId="328" xr:uid="{00000000-0005-0000-0000-000031000000}"/>
    <cellStyle name="20% - Accent3" xfId="25" builtinId="38" customBuiltin="1"/>
    <cellStyle name="20% - Accent3 2" xfId="52" xr:uid="{00000000-0005-0000-0000-000033000000}"/>
    <cellStyle name="20% - Accent3 3" xfId="99" xr:uid="{00000000-0005-0000-0000-000034000000}"/>
    <cellStyle name="20% - Accent3 3 2" xfId="151" xr:uid="{00000000-0005-0000-0000-000035000000}"/>
    <cellStyle name="20% - Accent3 3 2 2" xfId="269" xr:uid="{00000000-0005-0000-0000-000036000000}"/>
    <cellStyle name="20% - Accent3 3 2 2 2" xfId="508" xr:uid="{00000000-0005-0000-0000-000037000000}"/>
    <cellStyle name="20% - Accent3 3 2 3" xfId="394" xr:uid="{00000000-0005-0000-0000-000038000000}"/>
    <cellStyle name="20% - Accent3 3 3" xfId="222" xr:uid="{00000000-0005-0000-0000-000039000000}"/>
    <cellStyle name="20% - Accent3 3 3 2" xfId="461" xr:uid="{00000000-0005-0000-0000-00003A000000}"/>
    <cellStyle name="20% - Accent3 3 4" xfId="347" xr:uid="{00000000-0005-0000-0000-00003B000000}"/>
    <cellStyle name="20% - Accent3 4" xfId="110" xr:uid="{00000000-0005-0000-0000-00003C000000}"/>
    <cellStyle name="20% - Accent3 4 2" xfId="162" xr:uid="{00000000-0005-0000-0000-00003D000000}"/>
    <cellStyle name="20% - Accent3 4 2 2" xfId="280" xr:uid="{00000000-0005-0000-0000-00003E000000}"/>
    <cellStyle name="20% - Accent3 4 2 2 2" xfId="519" xr:uid="{00000000-0005-0000-0000-00003F000000}"/>
    <cellStyle name="20% - Accent3 4 2 3" xfId="405" xr:uid="{00000000-0005-0000-0000-000040000000}"/>
    <cellStyle name="20% - Accent3 4 3" xfId="233" xr:uid="{00000000-0005-0000-0000-000041000000}"/>
    <cellStyle name="20% - Accent3 4 3 2" xfId="472" xr:uid="{00000000-0005-0000-0000-000042000000}"/>
    <cellStyle name="20% - Accent3 4 4" xfId="358" xr:uid="{00000000-0005-0000-0000-000043000000}"/>
    <cellStyle name="20% - Accent3 5" xfId="132" xr:uid="{00000000-0005-0000-0000-000044000000}"/>
    <cellStyle name="20% - Accent3 5 2" xfId="252" xr:uid="{00000000-0005-0000-0000-000045000000}"/>
    <cellStyle name="20% - Accent3 5 2 2" xfId="491" xr:uid="{00000000-0005-0000-0000-000046000000}"/>
    <cellStyle name="20% - Accent3 5 3" xfId="377" xr:uid="{00000000-0005-0000-0000-000047000000}"/>
    <cellStyle name="20% - Accent3 6" xfId="203" xr:uid="{00000000-0005-0000-0000-000048000000}"/>
    <cellStyle name="20% - Accent3 6 2" xfId="444" xr:uid="{00000000-0005-0000-0000-000049000000}"/>
    <cellStyle name="20% - Accent3 7" xfId="330" xr:uid="{00000000-0005-0000-0000-00004A000000}"/>
    <cellStyle name="20% - Accent4" xfId="28" builtinId="42" customBuiltin="1"/>
    <cellStyle name="20% - Accent4 2" xfId="53" xr:uid="{00000000-0005-0000-0000-00004C000000}"/>
    <cellStyle name="20% - Accent4 3" xfId="102" xr:uid="{00000000-0005-0000-0000-00004D000000}"/>
    <cellStyle name="20% - Accent4 3 2" xfId="154" xr:uid="{00000000-0005-0000-0000-00004E000000}"/>
    <cellStyle name="20% - Accent4 3 2 2" xfId="272" xr:uid="{00000000-0005-0000-0000-00004F000000}"/>
    <cellStyle name="20% - Accent4 3 2 2 2" xfId="511" xr:uid="{00000000-0005-0000-0000-000050000000}"/>
    <cellStyle name="20% - Accent4 3 2 3" xfId="397" xr:uid="{00000000-0005-0000-0000-000051000000}"/>
    <cellStyle name="20% - Accent4 3 3" xfId="225" xr:uid="{00000000-0005-0000-0000-000052000000}"/>
    <cellStyle name="20% - Accent4 3 3 2" xfId="464" xr:uid="{00000000-0005-0000-0000-000053000000}"/>
    <cellStyle name="20% - Accent4 3 4" xfId="350" xr:uid="{00000000-0005-0000-0000-000054000000}"/>
    <cellStyle name="20% - Accent4 4" xfId="112" xr:uid="{00000000-0005-0000-0000-000055000000}"/>
    <cellStyle name="20% - Accent4 4 2" xfId="164" xr:uid="{00000000-0005-0000-0000-000056000000}"/>
    <cellStyle name="20% - Accent4 4 2 2" xfId="282" xr:uid="{00000000-0005-0000-0000-000057000000}"/>
    <cellStyle name="20% - Accent4 4 2 2 2" xfId="521" xr:uid="{00000000-0005-0000-0000-000058000000}"/>
    <cellStyle name="20% - Accent4 4 2 3" xfId="407" xr:uid="{00000000-0005-0000-0000-000059000000}"/>
    <cellStyle name="20% - Accent4 4 3" xfId="235" xr:uid="{00000000-0005-0000-0000-00005A000000}"/>
    <cellStyle name="20% - Accent4 4 3 2" xfId="474" xr:uid="{00000000-0005-0000-0000-00005B000000}"/>
    <cellStyle name="20% - Accent4 4 4" xfId="360" xr:uid="{00000000-0005-0000-0000-00005C000000}"/>
    <cellStyle name="20% - Accent4 5" xfId="134" xr:uid="{00000000-0005-0000-0000-00005D000000}"/>
    <cellStyle name="20% - Accent4 5 2" xfId="254" xr:uid="{00000000-0005-0000-0000-00005E000000}"/>
    <cellStyle name="20% - Accent4 5 2 2" xfId="493" xr:uid="{00000000-0005-0000-0000-00005F000000}"/>
    <cellStyle name="20% - Accent4 5 3" xfId="379" xr:uid="{00000000-0005-0000-0000-000060000000}"/>
    <cellStyle name="20% - Accent4 6" xfId="205" xr:uid="{00000000-0005-0000-0000-000061000000}"/>
    <cellStyle name="20% - Accent4 6 2" xfId="446" xr:uid="{00000000-0005-0000-0000-000062000000}"/>
    <cellStyle name="20% - Accent4 7" xfId="332" xr:uid="{00000000-0005-0000-0000-000063000000}"/>
    <cellStyle name="20% - Accent5" xfId="31" builtinId="46" customBuiltin="1"/>
    <cellStyle name="20% - Accent5 2" xfId="54" xr:uid="{00000000-0005-0000-0000-000065000000}"/>
    <cellStyle name="20% - Accent5 3" xfId="105" xr:uid="{00000000-0005-0000-0000-000066000000}"/>
    <cellStyle name="20% - Accent5 3 2" xfId="157" xr:uid="{00000000-0005-0000-0000-000067000000}"/>
    <cellStyle name="20% - Accent5 3 2 2" xfId="275" xr:uid="{00000000-0005-0000-0000-000068000000}"/>
    <cellStyle name="20% - Accent5 3 2 2 2" xfId="514" xr:uid="{00000000-0005-0000-0000-000069000000}"/>
    <cellStyle name="20% - Accent5 3 2 3" xfId="400" xr:uid="{00000000-0005-0000-0000-00006A000000}"/>
    <cellStyle name="20% - Accent5 3 3" xfId="228" xr:uid="{00000000-0005-0000-0000-00006B000000}"/>
    <cellStyle name="20% - Accent5 3 3 2" xfId="467" xr:uid="{00000000-0005-0000-0000-00006C000000}"/>
    <cellStyle name="20% - Accent5 3 4" xfId="353" xr:uid="{00000000-0005-0000-0000-00006D000000}"/>
    <cellStyle name="20% - Accent5 4" xfId="114" xr:uid="{00000000-0005-0000-0000-00006E000000}"/>
    <cellStyle name="20% - Accent5 4 2" xfId="166" xr:uid="{00000000-0005-0000-0000-00006F000000}"/>
    <cellStyle name="20% - Accent5 4 2 2" xfId="284" xr:uid="{00000000-0005-0000-0000-000070000000}"/>
    <cellStyle name="20% - Accent5 4 2 2 2" xfId="523" xr:uid="{00000000-0005-0000-0000-000071000000}"/>
    <cellStyle name="20% - Accent5 4 2 3" xfId="409" xr:uid="{00000000-0005-0000-0000-000072000000}"/>
    <cellStyle name="20% - Accent5 4 3" xfId="237" xr:uid="{00000000-0005-0000-0000-000073000000}"/>
    <cellStyle name="20% - Accent5 4 3 2" xfId="476" xr:uid="{00000000-0005-0000-0000-000074000000}"/>
    <cellStyle name="20% - Accent5 4 4" xfId="362" xr:uid="{00000000-0005-0000-0000-000075000000}"/>
    <cellStyle name="20% - Accent5 5" xfId="136" xr:uid="{00000000-0005-0000-0000-000076000000}"/>
    <cellStyle name="20% - Accent5 5 2" xfId="256" xr:uid="{00000000-0005-0000-0000-000077000000}"/>
    <cellStyle name="20% - Accent5 5 2 2" xfId="495" xr:uid="{00000000-0005-0000-0000-000078000000}"/>
    <cellStyle name="20% - Accent5 5 3" xfId="381" xr:uid="{00000000-0005-0000-0000-000079000000}"/>
    <cellStyle name="20% - Accent5 6" xfId="207" xr:uid="{00000000-0005-0000-0000-00007A000000}"/>
    <cellStyle name="20% - Accent5 6 2" xfId="448" xr:uid="{00000000-0005-0000-0000-00007B000000}"/>
    <cellStyle name="20% - Accent5 7" xfId="334" xr:uid="{00000000-0005-0000-0000-00007C000000}"/>
    <cellStyle name="20% - Accent6" xfId="34" builtinId="50" customBuiltin="1"/>
    <cellStyle name="20% - Accent6 2" xfId="55" xr:uid="{00000000-0005-0000-0000-00007E000000}"/>
    <cellStyle name="20% - Accent6 3" xfId="108" xr:uid="{00000000-0005-0000-0000-00007F000000}"/>
    <cellStyle name="20% - Accent6 3 2" xfId="160" xr:uid="{00000000-0005-0000-0000-000080000000}"/>
    <cellStyle name="20% - Accent6 3 2 2" xfId="278" xr:uid="{00000000-0005-0000-0000-000081000000}"/>
    <cellStyle name="20% - Accent6 3 2 2 2" xfId="517" xr:uid="{00000000-0005-0000-0000-000082000000}"/>
    <cellStyle name="20% - Accent6 3 2 3" xfId="403" xr:uid="{00000000-0005-0000-0000-000083000000}"/>
    <cellStyle name="20% - Accent6 3 3" xfId="231" xr:uid="{00000000-0005-0000-0000-000084000000}"/>
    <cellStyle name="20% - Accent6 3 3 2" xfId="470" xr:uid="{00000000-0005-0000-0000-000085000000}"/>
    <cellStyle name="20% - Accent6 3 4" xfId="356" xr:uid="{00000000-0005-0000-0000-000086000000}"/>
    <cellStyle name="20% - Accent6 4" xfId="116" xr:uid="{00000000-0005-0000-0000-000087000000}"/>
    <cellStyle name="20% - Accent6 4 2" xfId="168" xr:uid="{00000000-0005-0000-0000-000088000000}"/>
    <cellStyle name="20% - Accent6 4 2 2" xfId="286" xr:uid="{00000000-0005-0000-0000-000089000000}"/>
    <cellStyle name="20% - Accent6 4 2 2 2" xfId="525" xr:uid="{00000000-0005-0000-0000-00008A000000}"/>
    <cellStyle name="20% - Accent6 4 2 3" xfId="411" xr:uid="{00000000-0005-0000-0000-00008B000000}"/>
    <cellStyle name="20% - Accent6 4 3" xfId="239" xr:uid="{00000000-0005-0000-0000-00008C000000}"/>
    <cellStyle name="20% - Accent6 4 3 2" xfId="478" xr:uid="{00000000-0005-0000-0000-00008D000000}"/>
    <cellStyle name="20% - Accent6 4 4" xfId="364" xr:uid="{00000000-0005-0000-0000-00008E000000}"/>
    <cellStyle name="20% - Accent6 5" xfId="138" xr:uid="{00000000-0005-0000-0000-00008F000000}"/>
    <cellStyle name="20% - Accent6 5 2" xfId="258" xr:uid="{00000000-0005-0000-0000-000090000000}"/>
    <cellStyle name="20% - Accent6 5 2 2" xfId="497" xr:uid="{00000000-0005-0000-0000-000091000000}"/>
    <cellStyle name="20% - Accent6 5 3" xfId="383" xr:uid="{00000000-0005-0000-0000-000092000000}"/>
    <cellStyle name="20% - Accent6 6" xfId="209" xr:uid="{00000000-0005-0000-0000-000093000000}"/>
    <cellStyle name="20% - Accent6 6 2" xfId="450" xr:uid="{00000000-0005-0000-0000-000094000000}"/>
    <cellStyle name="20% - Accent6 7" xfId="336" xr:uid="{00000000-0005-0000-0000-000095000000}"/>
    <cellStyle name="40% - Accent1" xfId="20" builtinId="31" customBuiltin="1"/>
    <cellStyle name="40% - Accent1 2" xfId="56" xr:uid="{00000000-0005-0000-0000-000097000000}"/>
    <cellStyle name="40% - Accent1 3" xfId="95" xr:uid="{00000000-0005-0000-0000-000098000000}"/>
    <cellStyle name="40% - Accent1 3 2" xfId="147" xr:uid="{00000000-0005-0000-0000-000099000000}"/>
    <cellStyle name="40% - Accent1 3 2 2" xfId="265" xr:uid="{00000000-0005-0000-0000-00009A000000}"/>
    <cellStyle name="40% - Accent1 3 2 2 2" xfId="504" xr:uid="{00000000-0005-0000-0000-00009B000000}"/>
    <cellStyle name="40% - Accent1 3 2 3" xfId="390" xr:uid="{00000000-0005-0000-0000-00009C000000}"/>
    <cellStyle name="40% - Accent1 3 3" xfId="218" xr:uid="{00000000-0005-0000-0000-00009D000000}"/>
    <cellStyle name="40% - Accent1 3 3 2" xfId="457" xr:uid="{00000000-0005-0000-0000-00009E000000}"/>
    <cellStyle name="40% - Accent1 3 4" xfId="343" xr:uid="{00000000-0005-0000-0000-00009F000000}"/>
    <cellStyle name="40% - Accent1 4" xfId="93" xr:uid="{00000000-0005-0000-0000-0000A0000000}"/>
    <cellStyle name="40% - Accent1 4 2" xfId="145" xr:uid="{00000000-0005-0000-0000-0000A1000000}"/>
    <cellStyle name="40% - Accent1 4 2 2" xfId="263" xr:uid="{00000000-0005-0000-0000-0000A2000000}"/>
    <cellStyle name="40% - Accent1 4 2 2 2" xfId="502" xr:uid="{00000000-0005-0000-0000-0000A3000000}"/>
    <cellStyle name="40% - Accent1 4 2 3" xfId="388" xr:uid="{00000000-0005-0000-0000-0000A4000000}"/>
    <cellStyle name="40% - Accent1 4 3" xfId="216" xr:uid="{00000000-0005-0000-0000-0000A5000000}"/>
    <cellStyle name="40% - Accent1 4 3 2" xfId="455" xr:uid="{00000000-0005-0000-0000-0000A6000000}"/>
    <cellStyle name="40% - Accent1 4 4" xfId="341" xr:uid="{00000000-0005-0000-0000-0000A7000000}"/>
    <cellStyle name="40% - Accent1 5" xfId="129" xr:uid="{00000000-0005-0000-0000-0000A8000000}"/>
    <cellStyle name="40% - Accent1 5 2" xfId="249" xr:uid="{00000000-0005-0000-0000-0000A9000000}"/>
    <cellStyle name="40% - Accent1 5 2 2" xfId="488" xr:uid="{00000000-0005-0000-0000-0000AA000000}"/>
    <cellStyle name="40% - Accent1 5 3" xfId="374" xr:uid="{00000000-0005-0000-0000-0000AB000000}"/>
    <cellStyle name="40% - Accent1 6" xfId="200" xr:uid="{00000000-0005-0000-0000-0000AC000000}"/>
    <cellStyle name="40% - Accent1 6 2" xfId="441" xr:uid="{00000000-0005-0000-0000-0000AD000000}"/>
    <cellStyle name="40% - Accent1 7" xfId="327" xr:uid="{00000000-0005-0000-0000-0000AE000000}"/>
    <cellStyle name="40% - Accent2" xfId="23" builtinId="35" customBuiltin="1"/>
    <cellStyle name="40% - Accent2 2" xfId="57" xr:uid="{00000000-0005-0000-0000-0000B0000000}"/>
    <cellStyle name="40% - Accent2 3" xfId="98" xr:uid="{00000000-0005-0000-0000-0000B1000000}"/>
    <cellStyle name="40% - Accent2 3 2" xfId="150" xr:uid="{00000000-0005-0000-0000-0000B2000000}"/>
    <cellStyle name="40% - Accent2 3 2 2" xfId="268" xr:uid="{00000000-0005-0000-0000-0000B3000000}"/>
    <cellStyle name="40% - Accent2 3 2 2 2" xfId="507" xr:uid="{00000000-0005-0000-0000-0000B4000000}"/>
    <cellStyle name="40% - Accent2 3 2 3" xfId="393" xr:uid="{00000000-0005-0000-0000-0000B5000000}"/>
    <cellStyle name="40% - Accent2 3 3" xfId="221" xr:uid="{00000000-0005-0000-0000-0000B6000000}"/>
    <cellStyle name="40% - Accent2 3 3 2" xfId="460" xr:uid="{00000000-0005-0000-0000-0000B7000000}"/>
    <cellStyle name="40% - Accent2 3 4" xfId="346" xr:uid="{00000000-0005-0000-0000-0000B8000000}"/>
    <cellStyle name="40% - Accent2 4" xfId="101" xr:uid="{00000000-0005-0000-0000-0000B9000000}"/>
    <cellStyle name="40% - Accent2 4 2" xfId="153" xr:uid="{00000000-0005-0000-0000-0000BA000000}"/>
    <cellStyle name="40% - Accent2 4 2 2" xfId="271" xr:uid="{00000000-0005-0000-0000-0000BB000000}"/>
    <cellStyle name="40% - Accent2 4 2 2 2" xfId="510" xr:uid="{00000000-0005-0000-0000-0000BC000000}"/>
    <cellStyle name="40% - Accent2 4 2 3" xfId="396" xr:uid="{00000000-0005-0000-0000-0000BD000000}"/>
    <cellStyle name="40% - Accent2 4 3" xfId="224" xr:uid="{00000000-0005-0000-0000-0000BE000000}"/>
    <cellStyle name="40% - Accent2 4 3 2" xfId="463" xr:uid="{00000000-0005-0000-0000-0000BF000000}"/>
    <cellStyle name="40% - Accent2 4 4" xfId="349" xr:uid="{00000000-0005-0000-0000-0000C0000000}"/>
    <cellStyle name="40% - Accent2 5" xfId="131" xr:uid="{00000000-0005-0000-0000-0000C1000000}"/>
    <cellStyle name="40% - Accent2 5 2" xfId="251" xr:uid="{00000000-0005-0000-0000-0000C2000000}"/>
    <cellStyle name="40% - Accent2 5 2 2" xfId="490" xr:uid="{00000000-0005-0000-0000-0000C3000000}"/>
    <cellStyle name="40% - Accent2 5 3" xfId="376" xr:uid="{00000000-0005-0000-0000-0000C4000000}"/>
    <cellStyle name="40% - Accent2 6" xfId="202" xr:uid="{00000000-0005-0000-0000-0000C5000000}"/>
    <cellStyle name="40% - Accent2 6 2" xfId="443" xr:uid="{00000000-0005-0000-0000-0000C6000000}"/>
    <cellStyle name="40% - Accent2 7" xfId="329" xr:uid="{00000000-0005-0000-0000-0000C7000000}"/>
    <cellStyle name="40% - Accent3" xfId="26" builtinId="39" customBuiltin="1"/>
    <cellStyle name="40% - Accent3 2" xfId="58" xr:uid="{00000000-0005-0000-0000-0000C9000000}"/>
    <cellStyle name="40% - Accent3 3" xfId="100" xr:uid="{00000000-0005-0000-0000-0000CA000000}"/>
    <cellStyle name="40% - Accent3 3 2" xfId="152" xr:uid="{00000000-0005-0000-0000-0000CB000000}"/>
    <cellStyle name="40% - Accent3 3 2 2" xfId="270" xr:uid="{00000000-0005-0000-0000-0000CC000000}"/>
    <cellStyle name="40% - Accent3 3 2 2 2" xfId="509" xr:uid="{00000000-0005-0000-0000-0000CD000000}"/>
    <cellStyle name="40% - Accent3 3 2 3" xfId="395" xr:uid="{00000000-0005-0000-0000-0000CE000000}"/>
    <cellStyle name="40% - Accent3 3 3" xfId="223" xr:uid="{00000000-0005-0000-0000-0000CF000000}"/>
    <cellStyle name="40% - Accent3 3 3 2" xfId="462" xr:uid="{00000000-0005-0000-0000-0000D0000000}"/>
    <cellStyle name="40% - Accent3 3 4" xfId="348" xr:uid="{00000000-0005-0000-0000-0000D1000000}"/>
    <cellStyle name="40% - Accent3 4" xfId="111" xr:uid="{00000000-0005-0000-0000-0000D2000000}"/>
    <cellStyle name="40% - Accent3 4 2" xfId="163" xr:uid="{00000000-0005-0000-0000-0000D3000000}"/>
    <cellStyle name="40% - Accent3 4 2 2" xfId="281" xr:uid="{00000000-0005-0000-0000-0000D4000000}"/>
    <cellStyle name="40% - Accent3 4 2 2 2" xfId="520" xr:uid="{00000000-0005-0000-0000-0000D5000000}"/>
    <cellStyle name="40% - Accent3 4 2 3" xfId="406" xr:uid="{00000000-0005-0000-0000-0000D6000000}"/>
    <cellStyle name="40% - Accent3 4 3" xfId="234" xr:uid="{00000000-0005-0000-0000-0000D7000000}"/>
    <cellStyle name="40% - Accent3 4 3 2" xfId="473" xr:uid="{00000000-0005-0000-0000-0000D8000000}"/>
    <cellStyle name="40% - Accent3 4 4" xfId="359" xr:uid="{00000000-0005-0000-0000-0000D9000000}"/>
    <cellStyle name="40% - Accent3 5" xfId="133" xr:uid="{00000000-0005-0000-0000-0000DA000000}"/>
    <cellStyle name="40% - Accent3 5 2" xfId="253" xr:uid="{00000000-0005-0000-0000-0000DB000000}"/>
    <cellStyle name="40% - Accent3 5 2 2" xfId="492" xr:uid="{00000000-0005-0000-0000-0000DC000000}"/>
    <cellStyle name="40% - Accent3 5 3" xfId="378" xr:uid="{00000000-0005-0000-0000-0000DD000000}"/>
    <cellStyle name="40% - Accent3 6" xfId="204" xr:uid="{00000000-0005-0000-0000-0000DE000000}"/>
    <cellStyle name="40% - Accent3 6 2" xfId="445" xr:uid="{00000000-0005-0000-0000-0000DF000000}"/>
    <cellStyle name="40% - Accent3 7" xfId="331" xr:uid="{00000000-0005-0000-0000-0000E0000000}"/>
    <cellStyle name="40% - Accent4" xfId="29" builtinId="43" customBuiltin="1"/>
    <cellStyle name="40% - Accent4 2" xfId="59" xr:uid="{00000000-0005-0000-0000-0000E2000000}"/>
    <cellStyle name="40% - Accent4 3" xfId="103" xr:uid="{00000000-0005-0000-0000-0000E3000000}"/>
    <cellStyle name="40% - Accent4 3 2" xfId="155" xr:uid="{00000000-0005-0000-0000-0000E4000000}"/>
    <cellStyle name="40% - Accent4 3 2 2" xfId="273" xr:uid="{00000000-0005-0000-0000-0000E5000000}"/>
    <cellStyle name="40% - Accent4 3 2 2 2" xfId="512" xr:uid="{00000000-0005-0000-0000-0000E6000000}"/>
    <cellStyle name="40% - Accent4 3 2 3" xfId="398" xr:uid="{00000000-0005-0000-0000-0000E7000000}"/>
    <cellStyle name="40% - Accent4 3 3" xfId="226" xr:uid="{00000000-0005-0000-0000-0000E8000000}"/>
    <cellStyle name="40% - Accent4 3 3 2" xfId="465" xr:uid="{00000000-0005-0000-0000-0000E9000000}"/>
    <cellStyle name="40% - Accent4 3 4" xfId="351" xr:uid="{00000000-0005-0000-0000-0000EA000000}"/>
    <cellStyle name="40% - Accent4 4" xfId="113" xr:uid="{00000000-0005-0000-0000-0000EB000000}"/>
    <cellStyle name="40% - Accent4 4 2" xfId="165" xr:uid="{00000000-0005-0000-0000-0000EC000000}"/>
    <cellStyle name="40% - Accent4 4 2 2" xfId="283" xr:uid="{00000000-0005-0000-0000-0000ED000000}"/>
    <cellStyle name="40% - Accent4 4 2 2 2" xfId="522" xr:uid="{00000000-0005-0000-0000-0000EE000000}"/>
    <cellStyle name="40% - Accent4 4 2 3" xfId="408" xr:uid="{00000000-0005-0000-0000-0000EF000000}"/>
    <cellStyle name="40% - Accent4 4 3" xfId="236" xr:uid="{00000000-0005-0000-0000-0000F0000000}"/>
    <cellStyle name="40% - Accent4 4 3 2" xfId="475" xr:uid="{00000000-0005-0000-0000-0000F1000000}"/>
    <cellStyle name="40% - Accent4 4 4" xfId="361" xr:uid="{00000000-0005-0000-0000-0000F2000000}"/>
    <cellStyle name="40% - Accent4 5" xfId="135" xr:uid="{00000000-0005-0000-0000-0000F3000000}"/>
    <cellStyle name="40% - Accent4 5 2" xfId="255" xr:uid="{00000000-0005-0000-0000-0000F4000000}"/>
    <cellStyle name="40% - Accent4 5 2 2" xfId="494" xr:uid="{00000000-0005-0000-0000-0000F5000000}"/>
    <cellStyle name="40% - Accent4 5 3" xfId="380" xr:uid="{00000000-0005-0000-0000-0000F6000000}"/>
    <cellStyle name="40% - Accent4 6" xfId="206" xr:uid="{00000000-0005-0000-0000-0000F7000000}"/>
    <cellStyle name="40% - Accent4 6 2" xfId="447" xr:uid="{00000000-0005-0000-0000-0000F8000000}"/>
    <cellStyle name="40% - Accent4 7" xfId="333" xr:uid="{00000000-0005-0000-0000-0000F9000000}"/>
    <cellStyle name="40% - Accent5" xfId="32" builtinId="47" customBuiltin="1"/>
    <cellStyle name="40% - Accent5 2" xfId="60" xr:uid="{00000000-0005-0000-0000-0000FB000000}"/>
    <cellStyle name="40% - Accent5 3" xfId="106" xr:uid="{00000000-0005-0000-0000-0000FC000000}"/>
    <cellStyle name="40% - Accent5 3 2" xfId="158" xr:uid="{00000000-0005-0000-0000-0000FD000000}"/>
    <cellStyle name="40% - Accent5 3 2 2" xfId="276" xr:uid="{00000000-0005-0000-0000-0000FE000000}"/>
    <cellStyle name="40% - Accent5 3 2 2 2" xfId="515" xr:uid="{00000000-0005-0000-0000-0000FF000000}"/>
    <cellStyle name="40% - Accent5 3 2 3" xfId="401" xr:uid="{00000000-0005-0000-0000-000000010000}"/>
    <cellStyle name="40% - Accent5 3 3" xfId="229" xr:uid="{00000000-0005-0000-0000-000001010000}"/>
    <cellStyle name="40% - Accent5 3 3 2" xfId="468" xr:uid="{00000000-0005-0000-0000-000002010000}"/>
    <cellStyle name="40% - Accent5 3 4" xfId="354" xr:uid="{00000000-0005-0000-0000-000003010000}"/>
    <cellStyle name="40% - Accent5 4" xfId="115" xr:uid="{00000000-0005-0000-0000-000004010000}"/>
    <cellStyle name="40% - Accent5 4 2" xfId="167" xr:uid="{00000000-0005-0000-0000-000005010000}"/>
    <cellStyle name="40% - Accent5 4 2 2" xfId="285" xr:uid="{00000000-0005-0000-0000-000006010000}"/>
    <cellStyle name="40% - Accent5 4 2 2 2" xfId="524" xr:uid="{00000000-0005-0000-0000-000007010000}"/>
    <cellStyle name="40% - Accent5 4 2 3" xfId="410" xr:uid="{00000000-0005-0000-0000-000008010000}"/>
    <cellStyle name="40% - Accent5 4 3" xfId="238" xr:uid="{00000000-0005-0000-0000-000009010000}"/>
    <cellStyle name="40% - Accent5 4 3 2" xfId="477" xr:uid="{00000000-0005-0000-0000-00000A010000}"/>
    <cellStyle name="40% - Accent5 4 4" xfId="363" xr:uid="{00000000-0005-0000-0000-00000B010000}"/>
    <cellStyle name="40% - Accent5 5" xfId="137" xr:uid="{00000000-0005-0000-0000-00000C010000}"/>
    <cellStyle name="40% - Accent5 5 2" xfId="257" xr:uid="{00000000-0005-0000-0000-00000D010000}"/>
    <cellStyle name="40% - Accent5 5 2 2" xfId="496" xr:uid="{00000000-0005-0000-0000-00000E010000}"/>
    <cellStyle name="40% - Accent5 5 3" xfId="382" xr:uid="{00000000-0005-0000-0000-00000F010000}"/>
    <cellStyle name="40% - Accent5 6" xfId="208" xr:uid="{00000000-0005-0000-0000-000010010000}"/>
    <cellStyle name="40% - Accent5 6 2" xfId="449" xr:uid="{00000000-0005-0000-0000-000011010000}"/>
    <cellStyle name="40% - Accent5 7" xfId="335" xr:uid="{00000000-0005-0000-0000-000012010000}"/>
    <cellStyle name="40% - Accent6" xfId="35" builtinId="51" customBuiltin="1"/>
    <cellStyle name="40% - Accent6 2" xfId="61" xr:uid="{00000000-0005-0000-0000-000014010000}"/>
    <cellStyle name="40% - Accent6 3" xfId="109" xr:uid="{00000000-0005-0000-0000-000015010000}"/>
    <cellStyle name="40% - Accent6 3 2" xfId="161" xr:uid="{00000000-0005-0000-0000-000016010000}"/>
    <cellStyle name="40% - Accent6 3 2 2" xfId="279" xr:uid="{00000000-0005-0000-0000-000017010000}"/>
    <cellStyle name="40% - Accent6 3 2 2 2" xfId="518" xr:uid="{00000000-0005-0000-0000-000018010000}"/>
    <cellStyle name="40% - Accent6 3 2 3" xfId="404" xr:uid="{00000000-0005-0000-0000-000019010000}"/>
    <cellStyle name="40% - Accent6 3 3" xfId="232" xr:uid="{00000000-0005-0000-0000-00001A010000}"/>
    <cellStyle name="40% - Accent6 3 3 2" xfId="471" xr:uid="{00000000-0005-0000-0000-00001B010000}"/>
    <cellStyle name="40% - Accent6 3 4" xfId="357" xr:uid="{00000000-0005-0000-0000-00001C010000}"/>
    <cellStyle name="40% - Accent6 4" xfId="117" xr:uid="{00000000-0005-0000-0000-00001D010000}"/>
    <cellStyle name="40% - Accent6 4 2" xfId="169" xr:uid="{00000000-0005-0000-0000-00001E010000}"/>
    <cellStyle name="40% - Accent6 4 2 2" xfId="287" xr:uid="{00000000-0005-0000-0000-00001F010000}"/>
    <cellStyle name="40% - Accent6 4 2 2 2" xfId="526" xr:uid="{00000000-0005-0000-0000-000020010000}"/>
    <cellStyle name="40% - Accent6 4 2 3" xfId="412" xr:uid="{00000000-0005-0000-0000-000021010000}"/>
    <cellStyle name="40% - Accent6 4 3" xfId="240" xr:uid="{00000000-0005-0000-0000-000022010000}"/>
    <cellStyle name="40% - Accent6 4 3 2" xfId="479" xr:uid="{00000000-0005-0000-0000-000023010000}"/>
    <cellStyle name="40% - Accent6 4 4" xfId="365" xr:uid="{00000000-0005-0000-0000-000024010000}"/>
    <cellStyle name="40% - Accent6 5" xfId="139" xr:uid="{00000000-0005-0000-0000-000025010000}"/>
    <cellStyle name="40% - Accent6 5 2" xfId="259" xr:uid="{00000000-0005-0000-0000-000026010000}"/>
    <cellStyle name="40% - Accent6 5 2 2" xfId="498" xr:uid="{00000000-0005-0000-0000-000027010000}"/>
    <cellStyle name="40% - Accent6 5 3" xfId="384" xr:uid="{00000000-0005-0000-0000-000028010000}"/>
    <cellStyle name="40% - Accent6 6" xfId="210" xr:uid="{00000000-0005-0000-0000-000029010000}"/>
    <cellStyle name="40% - Accent6 6 2" xfId="451" xr:uid="{00000000-0005-0000-0000-00002A010000}"/>
    <cellStyle name="40% - Accent6 7" xfId="337" xr:uid="{00000000-0005-0000-0000-00002B010000}"/>
    <cellStyle name="60% - Accent1 2" xfId="62" xr:uid="{00000000-0005-0000-0000-00002C010000}"/>
    <cellStyle name="60% - Accent1 3" xfId="40" xr:uid="{00000000-0005-0000-0000-00002D010000}"/>
    <cellStyle name="60% - Accent2 2" xfId="63" xr:uid="{00000000-0005-0000-0000-00002E010000}"/>
    <cellStyle name="60% - Accent2 3" xfId="41" xr:uid="{00000000-0005-0000-0000-00002F010000}"/>
    <cellStyle name="60% - Accent3 2" xfId="64" xr:uid="{00000000-0005-0000-0000-000030010000}"/>
    <cellStyle name="60% - Accent3 3" xfId="42" xr:uid="{00000000-0005-0000-0000-000031010000}"/>
    <cellStyle name="60% - Accent4 2" xfId="65" xr:uid="{00000000-0005-0000-0000-000032010000}"/>
    <cellStyle name="60% - Accent4 3" xfId="43" xr:uid="{00000000-0005-0000-0000-000033010000}"/>
    <cellStyle name="60% - Accent5 2" xfId="66" xr:uid="{00000000-0005-0000-0000-000034010000}"/>
    <cellStyle name="60% - Accent5 3" xfId="44" xr:uid="{00000000-0005-0000-0000-000035010000}"/>
    <cellStyle name="60% - Accent6 2" xfId="67" xr:uid="{00000000-0005-0000-0000-000036010000}"/>
    <cellStyle name="60% - Accent6 3" xfId="45" xr:uid="{00000000-0005-0000-0000-000037010000}"/>
    <cellStyle name="Accent1" xfId="18" builtinId="29" customBuiltin="1"/>
    <cellStyle name="Accent1 2" xfId="68" xr:uid="{00000000-0005-0000-0000-000039010000}"/>
    <cellStyle name="Accent2" xfId="21" builtinId="33" customBuiltin="1"/>
    <cellStyle name="Accent2 2" xfId="69" xr:uid="{00000000-0005-0000-0000-00003B010000}"/>
    <cellStyle name="Accent3" xfId="24" builtinId="37" customBuiltin="1"/>
    <cellStyle name="Accent3 2" xfId="70" xr:uid="{00000000-0005-0000-0000-00003D010000}"/>
    <cellStyle name="Accent4" xfId="27" builtinId="41" customBuiltin="1"/>
    <cellStyle name="Accent4 2" xfId="71" xr:uid="{00000000-0005-0000-0000-00003F010000}"/>
    <cellStyle name="Accent5" xfId="30" builtinId="45" customBuiltin="1"/>
    <cellStyle name="Accent5 2" xfId="72" xr:uid="{00000000-0005-0000-0000-000041010000}"/>
    <cellStyle name="Accent6" xfId="33" builtinId="49" customBuiltin="1"/>
    <cellStyle name="Accent6 2" xfId="73" xr:uid="{00000000-0005-0000-0000-000043010000}"/>
    <cellStyle name="Bad" xfId="9" builtinId="27" customBuiltin="1"/>
    <cellStyle name="Bad 2" xfId="74" xr:uid="{00000000-0005-0000-0000-000045010000}"/>
    <cellStyle name="Calculation" xfId="12" builtinId="22" customBuiltin="1"/>
    <cellStyle name="Calculation 2" xfId="75" xr:uid="{00000000-0005-0000-0000-000047010000}"/>
    <cellStyle name="Check Cell" xfId="14" builtinId="23" customBuiltin="1"/>
    <cellStyle name="Check Cell 2" xfId="76" xr:uid="{00000000-0005-0000-0000-000049010000}"/>
    <cellStyle name="Comma" xfId="1" builtinId="3"/>
    <cellStyle name="Comma 2" xfId="119" xr:uid="{00000000-0005-0000-0000-00004B010000}"/>
    <cellStyle name="Comma 2 2" xfId="171" xr:uid="{00000000-0005-0000-0000-00004C010000}"/>
    <cellStyle name="Comma 3" xfId="141" xr:uid="{00000000-0005-0000-0000-00004D010000}"/>
    <cellStyle name="Comma 4" xfId="212" xr:uid="{00000000-0005-0000-0000-00004E010000}"/>
    <cellStyle name="Comma 5" xfId="37" xr:uid="{00000000-0005-0000-0000-00004F010000}"/>
    <cellStyle name="Currency 2" xfId="77" xr:uid="{00000000-0005-0000-0000-000050010000}"/>
    <cellStyle name="Explanatory Text" xfId="16" builtinId="53" customBuiltin="1"/>
    <cellStyle name="Explanatory Text 2" xfId="78" xr:uid="{00000000-0005-0000-0000-000052010000}"/>
    <cellStyle name="Good" xfId="8" builtinId="26" customBuiltin="1"/>
    <cellStyle name="Good 2" xfId="79" xr:uid="{00000000-0005-0000-0000-000054010000}"/>
    <cellStyle name="Heading 1" xfId="4" builtinId="16" customBuiltin="1"/>
    <cellStyle name="Heading 1 2" xfId="80" xr:uid="{00000000-0005-0000-0000-000056010000}"/>
    <cellStyle name="Heading 2" xfId="5" builtinId="17" customBuiltin="1"/>
    <cellStyle name="Heading 2 2" xfId="81" xr:uid="{00000000-0005-0000-0000-000058010000}"/>
    <cellStyle name="Heading 3" xfId="6" builtinId="18" customBuiltin="1"/>
    <cellStyle name="Heading 3 2" xfId="82" xr:uid="{00000000-0005-0000-0000-00005A010000}"/>
    <cellStyle name="Heading 4" xfId="7" builtinId="19" customBuiltin="1"/>
    <cellStyle name="Heading 4 2" xfId="83" xr:uid="{00000000-0005-0000-0000-00005C010000}"/>
    <cellStyle name="Hyperlink 2" xfId="50" xr:uid="{00000000-0005-0000-0000-00005D010000}"/>
    <cellStyle name="Input" xfId="10" builtinId="20" customBuiltin="1"/>
    <cellStyle name="Input 2" xfId="84" xr:uid="{00000000-0005-0000-0000-00005F010000}"/>
    <cellStyle name="Linked Cell" xfId="13" builtinId="24" customBuiltin="1"/>
    <cellStyle name="Linked Cell 2" xfId="85" xr:uid="{00000000-0005-0000-0000-000061010000}"/>
    <cellStyle name="Neutral 2" xfId="86" xr:uid="{00000000-0005-0000-0000-000062010000}"/>
    <cellStyle name="Neutral 3" xfId="39" xr:uid="{00000000-0005-0000-0000-000063010000}"/>
    <cellStyle name="Normal" xfId="0" builtinId="0"/>
    <cellStyle name="Normal 10" xfId="126" xr:uid="{00000000-0005-0000-0000-000065010000}"/>
    <cellStyle name="Normal 10 2" xfId="177" xr:uid="{00000000-0005-0000-0000-000066010000}"/>
    <cellStyle name="Normal 10 2 2" xfId="293" xr:uid="{00000000-0005-0000-0000-000067010000}"/>
    <cellStyle name="Normal 10 2 2 2" xfId="532" xr:uid="{00000000-0005-0000-0000-000068010000}"/>
    <cellStyle name="Normal 10 2 3" xfId="418" xr:uid="{00000000-0005-0000-0000-000069010000}"/>
    <cellStyle name="Normal 10 3" xfId="246" xr:uid="{00000000-0005-0000-0000-00006A010000}"/>
    <cellStyle name="Normal 10 3 2" xfId="485" xr:uid="{00000000-0005-0000-0000-00006B010000}"/>
    <cellStyle name="Normal 10 4" xfId="371" xr:uid="{00000000-0005-0000-0000-00006C010000}"/>
    <cellStyle name="Normal 11" xfId="140" xr:uid="{00000000-0005-0000-0000-00006D010000}"/>
    <cellStyle name="Normal 12" xfId="127" xr:uid="{00000000-0005-0000-0000-00006E010000}"/>
    <cellStyle name="Normal 12 2" xfId="247" xr:uid="{00000000-0005-0000-0000-00006F010000}"/>
    <cellStyle name="Normal 12 2 2" xfId="486" xr:uid="{00000000-0005-0000-0000-000070010000}"/>
    <cellStyle name="Normal 12 3" xfId="372" xr:uid="{00000000-0005-0000-0000-000071010000}"/>
    <cellStyle name="Normal 13" xfId="178" xr:uid="{00000000-0005-0000-0000-000072010000}"/>
    <cellStyle name="Normal 13 2" xfId="294" xr:uid="{00000000-0005-0000-0000-000073010000}"/>
    <cellStyle name="Normal 13 2 2" xfId="533" xr:uid="{00000000-0005-0000-0000-000074010000}"/>
    <cellStyle name="Normal 13 3" xfId="419" xr:uid="{00000000-0005-0000-0000-000075010000}"/>
    <cellStyle name="Normal 14" xfId="179" xr:uid="{00000000-0005-0000-0000-000076010000}"/>
    <cellStyle name="Normal 14 2" xfId="295" xr:uid="{00000000-0005-0000-0000-000077010000}"/>
    <cellStyle name="Normal 14 2 2" xfId="534" xr:uid="{00000000-0005-0000-0000-000078010000}"/>
    <cellStyle name="Normal 14 3" xfId="420" xr:uid="{00000000-0005-0000-0000-000079010000}"/>
    <cellStyle name="Normal 15" xfId="180" xr:uid="{00000000-0005-0000-0000-00007A010000}"/>
    <cellStyle name="Normal 15 2" xfId="296" xr:uid="{00000000-0005-0000-0000-00007B010000}"/>
    <cellStyle name="Normal 15 2 2" xfId="535" xr:uid="{00000000-0005-0000-0000-00007C010000}"/>
    <cellStyle name="Normal 15 3" xfId="421" xr:uid="{00000000-0005-0000-0000-00007D010000}"/>
    <cellStyle name="Normal 16" xfId="181" xr:uid="{00000000-0005-0000-0000-00007E010000}"/>
    <cellStyle name="Normal 16 2" xfId="297" xr:uid="{00000000-0005-0000-0000-00007F010000}"/>
    <cellStyle name="Normal 16 2 2" xfId="536" xr:uid="{00000000-0005-0000-0000-000080010000}"/>
    <cellStyle name="Normal 16 3" xfId="422" xr:uid="{00000000-0005-0000-0000-000081010000}"/>
    <cellStyle name="Normal 17" xfId="182" xr:uid="{00000000-0005-0000-0000-000082010000}"/>
    <cellStyle name="Normal 17 2" xfId="298" xr:uid="{00000000-0005-0000-0000-000083010000}"/>
    <cellStyle name="Normal 17 2 2" xfId="537" xr:uid="{00000000-0005-0000-0000-000084010000}"/>
    <cellStyle name="Normal 17 3" xfId="423" xr:uid="{00000000-0005-0000-0000-000085010000}"/>
    <cellStyle name="Normal 18" xfId="183" xr:uid="{00000000-0005-0000-0000-000086010000}"/>
    <cellStyle name="Normal 18 2" xfId="299" xr:uid="{00000000-0005-0000-0000-000087010000}"/>
    <cellStyle name="Normal 18 2 2" xfId="538" xr:uid="{00000000-0005-0000-0000-000088010000}"/>
    <cellStyle name="Normal 18 3" xfId="424" xr:uid="{00000000-0005-0000-0000-000089010000}"/>
    <cellStyle name="Normal 19" xfId="184" xr:uid="{00000000-0005-0000-0000-00008A010000}"/>
    <cellStyle name="Normal 19 2" xfId="300" xr:uid="{00000000-0005-0000-0000-00008B010000}"/>
    <cellStyle name="Normal 19 2 2" xfId="539" xr:uid="{00000000-0005-0000-0000-00008C010000}"/>
    <cellStyle name="Normal 19 3" xfId="425" xr:uid="{00000000-0005-0000-0000-00008D010000}"/>
    <cellStyle name="Normal 2" xfId="46" xr:uid="{00000000-0005-0000-0000-00008E010000}"/>
    <cellStyle name="Normal 2 2" xfId="142" xr:uid="{00000000-0005-0000-0000-00008F010000}"/>
    <cellStyle name="Normal 2 2 2" xfId="260" xr:uid="{00000000-0005-0000-0000-000090010000}"/>
    <cellStyle name="Normal 2 2 2 2" xfId="499" xr:uid="{00000000-0005-0000-0000-000091010000}"/>
    <cellStyle name="Normal 2 2 3" xfId="385" xr:uid="{00000000-0005-0000-0000-000092010000}"/>
    <cellStyle name="Normal 2 3" xfId="213" xr:uid="{00000000-0005-0000-0000-000093010000}"/>
    <cellStyle name="Normal 2 3 2" xfId="452" xr:uid="{00000000-0005-0000-0000-000094010000}"/>
    <cellStyle name="Normal 2 4" xfId="338" xr:uid="{00000000-0005-0000-0000-000095010000}"/>
    <cellStyle name="Normal 20" xfId="185" xr:uid="{00000000-0005-0000-0000-000096010000}"/>
    <cellStyle name="Normal 20 2" xfId="301" xr:uid="{00000000-0005-0000-0000-000097010000}"/>
    <cellStyle name="Normal 20 2 2" xfId="540" xr:uid="{00000000-0005-0000-0000-000098010000}"/>
    <cellStyle name="Normal 20 3" xfId="426" xr:uid="{00000000-0005-0000-0000-000099010000}"/>
    <cellStyle name="Normal 21" xfId="186" xr:uid="{00000000-0005-0000-0000-00009A010000}"/>
    <cellStyle name="Normal 21 2" xfId="302" xr:uid="{00000000-0005-0000-0000-00009B010000}"/>
    <cellStyle name="Normal 21 2 2" xfId="541" xr:uid="{00000000-0005-0000-0000-00009C010000}"/>
    <cellStyle name="Normal 21 3" xfId="427" xr:uid="{00000000-0005-0000-0000-00009D010000}"/>
    <cellStyle name="Normal 22" xfId="187" xr:uid="{00000000-0005-0000-0000-00009E010000}"/>
    <cellStyle name="Normal 22 2" xfId="303" xr:uid="{00000000-0005-0000-0000-00009F010000}"/>
    <cellStyle name="Normal 22 2 2" xfId="542" xr:uid="{00000000-0005-0000-0000-0000A0010000}"/>
    <cellStyle name="Normal 22 3" xfId="428" xr:uid="{00000000-0005-0000-0000-0000A1010000}"/>
    <cellStyle name="Normal 23" xfId="188" xr:uid="{00000000-0005-0000-0000-0000A2010000}"/>
    <cellStyle name="Normal 23 2" xfId="304" xr:uid="{00000000-0005-0000-0000-0000A3010000}"/>
    <cellStyle name="Normal 23 2 2" xfId="543" xr:uid="{00000000-0005-0000-0000-0000A4010000}"/>
    <cellStyle name="Normal 23 3" xfId="429" xr:uid="{00000000-0005-0000-0000-0000A5010000}"/>
    <cellStyle name="Normal 24" xfId="189" xr:uid="{00000000-0005-0000-0000-0000A6010000}"/>
    <cellStyle name="Normal 24 2" xfId="305" xr:uid="{00000000-0005-0000-0000-0000A7010000}"/>
    <cellStyle name="Normal 24 2 2" xfId="544" xr:uid="{00000000-0005-0000-0000-0000A8010000}"/>
    <cellStyle name="Normal 24 3" xfId="430" xr:uid="{00000000-0005-0000-0000-0000A9010000}"/>
    <cellStyle name="Normal 25" xfId="190" xr:uid="{00000000-0005-0000-0000-0000AA010000}"/>
    <cellStyle name="Normal 25 2" xfId="306" xr:uid="{00000000-0005-0000-0000-0000AB010000}"/>
    <cellStyle name="Normal 25 2 2" xfId="545" xr:uid="{00000000-0005-0000-0000-0000AC010000}"/>
    <cellStyle name="Normal 25 3" xfId="431" xr:uid="{00000000-0005-0000-0000-0000AD010000}"/>
    <cellStyle name="Normal 26" xfId="191" xr:uid="{00000000-0005-0000-0000-0000AE010000}"/>
    <cellStyle name="Normal 26 2" xfId="307" xr:uid="{00000000-0005-0000-0000-0000AF010000}"/>
    <cellStyle name="Normal 26 2 2" xfId="546" xr:uid="{00000000-0005-0000-0000-0000B0010000}"/>
    <cellStyle name="Normal 26 3" xfId="432" xr:uid="{00000000-0005-0000-0000-0000B1010000}"/>
    <cellStyle name="Normal 27" xfId="192" xr:uid="{00000000-0005-0000-0000-0000B2010000}"/>
    <cellStyle name="Normal 27 2" xfId="308" xr:uid="{00000000-0005-0000-0000-0000B3010000}"/>
    <cellStyle name="Normal 27 2 2" xfId="547" xr:uid="{00000000-0005-0000-0000-0000B4010000}"/>
    <cellStyle name="Normal 27 3" xfId="433" xr:uid="{00000000-0005-0000-0000-0000B5010000}"/>
    <cellStyle name="Normal 28" xfId="193" xr:uid="{00000000-0005-0000-0000-0000B6010000}"/>
    <cellStyle name="Normal 28 2" xfId="309" xr:uid="{00000000-0005-0000-0000-0000B7010000}"/>
    <cellStyle name="Normal 28 2 2" xfId="548" xr:uid="{00000000-0005-0000-0000-0000B8010000}"/>
    <cellStyle name="Normal 28 3" xfId="434" xr:uid="{00000000-0005-0000-0000-0000B9010000}"/>
    <cellStyle name="Normal 29" xfId="194" xr:uid="{00000000-0005-0000-0000-0000BA010000}"/>
    <cellStyle name="Normal 29 2" xfId="310" xr:uid="{00000000-0005-0000-0000-0000BB010000}"/>
    <cellStyle name="Normal 29 2 2" xfId="549" xr:uid="{00000000-0005-0000-0000-0000BC010000}"/>
    <cellStyle name="Normal 29 3" xfId="435" xr:uid="{00000000-0005-0000-0000-0000BD010000}"/>
    <cellStyle name="Normal 3" xfId="48" xr:uid="{00000000-0005-0000-0000-0000BE010000}"/>
    <cellStyle name="Normal 30" xfId="195" xr:uid="{00000000-0005-0000-0000-0000BF010000}"/>
    <cellStyle name="Normal 30 2" xfId="311" xr:uid="{00000000-0005-0000-0000-0000C0010000}"/>
    <cellStyle name="Normal 30 2 2" xfId="550" xr:uid="{00000000-0005-0000-0000-0000C1010000}"/>
    <cellStyle name="Normal 30 3" xfId="436" xr:uid="{00000000-0005-0000-0000-0000C2010000}"/>
    <cellStyle name="Normal 31" xfId="196" xr:uid="{00000000-0005-0000-0000-0000C3010000}"/>
    <cellStyle name="Normal 31 2" xfId="312" xr:uid="{00000000-0005-0000-0000-0000C4010000}"/>
    <cellStyle name="Normal 31 2 2" xfId="551" xr:uid="{00000000-0005-0000-0000-0000C5010000}"/>
    <cellStyle name="Normal 31 3" xfId="437" xr:uid="{00000000-0005-0000-0000-0000C6010000}"/>
    <cellStyle name="Normal 32" xfId="197" xr:uid="{00000000-0005-0000-0000-0000C7010000}"/>
    <cellStyle name="Normal 32 2" xfId="313" xr:uid="{00000000-0005-0000-0000-0000C8010000}"/>
    <cellStyle name="Normal 32 2 2" xfId="552" xr:uid="{00000000-0005-0000-0000-0000C9010000}"/>
    <cellStyle name="Normal 32 3" xfId="438" xr:uid="{00000000-0005-0000-0000-0000CA010000}"/>
    <cellStyle name="Normal 33" xfId="198" xr:uid="{00000000-0005-0000-0000-0000CB010000}"/>
    <cellStyle name="Normal 33 2" xfId="439" xr:uid="{00000000-0005-0000-0000-0000CC010000}"/>
    <cellStyle name="Normal 34" xfId="211" xr:uid="{00000000-0005-0000-0000-0000CD010000}"/>
    <cellStyle name="Normal 35" xfId="314" xr:uid="{00000000-0005-0000-0000-0000CE010000}"/>
    <cellStyle name="Normal 35 2" xfId="553" xr:uid="{00000000-0005-0000-0000-0000CF010000}"/>
    <cellStyle name="Normal 36" xfId="315" xr:uid="{00000000-0005-0000-0000-0000D0010000}"/>
    <cellStyle name="Normal 36 2" xfId="554" xr:uid="{00000000-0005-0000-0000-0000D1010000}"/>
    <cellStyle name="Normal 37" xfId="316" xr:uid="{00000000-0005-0000-0000-0000D2010000}"/>
    <cellStyle name="Normal 37 2" xfId="555" xr:uid="{00000000-0005-0000-0000-0000D3010000}"/>
    <cellStyle name="Normal 38" xfId="317" xr:uid="{00000000-0005-0000-0000-0000D4010000}"/>
    <cellStyle name="Normal 38 2" xfId="556" xr:uid="{00000000-0005-0000-0000-0000D5010000}"/>
    <cellStyle name="Normal 39" xfId="318" xr:uid="{00000000-0005-0000-0000-0000D6010000}"/>
    <cellStyle name="Normal 39 2" xfId="557" xr:uid="{00000000-0005-0000-0000-0000D7010000}"/>
    <cellStyle name="Normal 4" xfId="118" xr:uid="{00000000-0005-0000-0000-0000D8010000}"/>
    <cellStyle name="Normal 4 2" xfId="170" xr:uid="{00000000-0005-0000-0000-0000D9010000}"/>
    <cellStyle name="Normal 40" xfId="319" xr:uid="{00000000-0005-0000-0000-0000DA010000}"/>
    <cellStyle name="Normal 40 2" xfId="558" xr:uid="{00000000-0005-0000-0000-0000DB010000}"/>
    <cellStyle name="Normal 41" xfId="320" xr:uid="{00000000-0005-0000-0000-0000DC010000}"/>
    <cellStyle name="Normal 41 2" xfId="559" xr:uid="{00000000-0005-0000-0000-0000DD010000}"/>
    <cellStyle name="Normal 42" xfId="321" xr:uid="{00000000-0005-0000-0000-0000DE010000}"/>
    <cellStyle name="Normal 42 2" xfId="560" xr:uid="{00000000-0005-0000-0000-0000DF010000}"/>
    <cellStyle name="Normal 43" xfId="322" xr:uid="{00000000-0005-0000-0000-0000E0010000}"/>
    <cellStyle name="Normal 43 2" xfId="561" xr:uid="{00000000-0005-0000-0000-0000E1010000}"/>
    <cellStyle name="Normal 44" xfId="323" xr:uid="{00000000-0005-0000-0000-0000E2010000}"/>
    <cellStyle name="Normal 44 2" xfId="562" xr:uid="{00000000-0005-0000-0000-0000E3010000}"/>
    <cellStyle name="Normal 45" xfId="324" xr:uid="{00000000-0005-0000-0000-0000E4010000}"/>
    <cellStyle name="Normal 45 2" xfId="563" xr:uid="{00000000-0005-0000-0000-0000E5010000}"/>
    <cellStyle name="Normal 46" xfId="325" xr:uid="{00000000-0005-0000-0000-0000E6010000}"/>
    <cellStyle name="Normal 47" xfId="3" xr:uid="{00000000-0005-0000-0000-0000E7010000}"/>
    <cellStyle name="Normal 48" xfId="36" xr:uid="{00000000-0005-0000-0000-0000E8010000}"/>
    <cellStyle name="Normal 5" xfId="121" xr:uid="{00000000-0005-0000-0000-0000E9010000}"/>
    <cellStyle name="Normal 5 2" xfId="172" xr:uid="{00000000-0005-0000-0000-0000EA010000}"/>
    <cellStyle name="Normal 5 2 2" xfId="288" xr:uid="{00000000-0005-0000-0000-0000EB010000}"/>
    <cellStyle name="Normal 5 2 2 2" xfId="527" xr:uid="{00000000-0005-0000-0000-0000EC010000}"/>
    <cellStyle name="Normal 5 2 3" xfId="413" xr:uid="{00000000-0005-0000-0000-0000ED010000}"/>
    <cellStyle name="Normal 5 3" xfId="241" xr:uid="{00000000-0005-0000-0000-0000EE010000}"/>
    <cellStyle name="Normal 5 3 2" xfId="480" xr:uid="{00000000-0005-0000-0000-0000EF010000}"/>
    <cellStyle name="Normal 5 4" xfId="366" xr:uid="{00000000-0005-0000-0000-0000F0010000}"/>
    <cellStyle name="Normal 6" xfId="122" xr:uid="{00000000-0005-0000-0000-0000F1010000}"/>
    <cellStyle name="Normal 6 2" xfId="173" xr:uid="{00000000-0005-0000-0000-0000F2010000}"/>
    <cellStyle name="Normal 6 2 2" xfId="289" xr:uid="{00000000-0005-0000-0000-0000F3010000}"/>
    <cellStyle name="Normal 6 2 2 2" xfId="528" xr:uid="{00000000-0005-0000-0000-0000F4010000}"/>
    <cellStyle name="Normal 6 2 3" xfId="414" xr:uid="{00000000-0005-0000-0000-0000F5010000}"/>
    <cellStyle name="Normal 6 3" xfId="242" xr:uid="{00000000-0005-0000-0000-0000F6010000}"/>
    <cellStyle name="Normal 6 3 2" xfId="481" xr:uid="{00000000-0005-0000-0000-0000F7010000}"/>
    <cellStyle name="Normal 6 4" xfId="367" xr:uid="{00000000-0005-0000-0000-0000F8010000}"/>
    <cellStyle name="Normal 7" xfId="123" xr:uid="{00000000-0005-0000-0000-0000F9010000}"/>
    <cellStyle name="Normal 7 2" xfId="174" xr:uid="{00000000-0005-0000-0000-0000FA010000}"/>
    <cellStyle name="Normal 7 2 2" xfId="290" xr:uid="{00000000-0005-0000-0000-0000FB010000}"/>
    <cellStyle name="Normal 7 2 2 2" xfId="529" xr:uid="{00000000-0005-0000-0000-0000FC010000}"/>
    <cellStyle name="Normal 7 2 3" xfId="415" xr:uid="{00000000-0005-0000-0000-0000FD010000}"/>
    <cellStyle name="Normal 7 3" xfId="243" xr:uid="{00000000-0005-0000-0000-0000FE010000}"/>
    <cellStyle name="Normal 7 3 2" xfId="482" xr:uid="{00000000-0005-0000-0000-0000FF010000}"/>
    <cellStyle name="Normal 7 4" xfId="368" xr:uid="{00000000-0005-0000-0000-000000020000}"/>
    <cellStyle name="Normal 8" xfId="124" xr:uid="{00000000-0005-0000-0000-000001020000}"/>
    <cellStyle name="Normal 8 2" xfId="175" xr:uid="{00000000-0005-0000-0000-000002020000}"/>
    <cellStyle name="Normal 8 2 2" xfId="291" xr:uid="{00000000-0005-0000-0000-000003020000}"/>
    <cellStyle name="Normal 8 2 2 2" xfId="530" xr:uid="{00000000-0005-0000-0000-000004020000}"/>
    <cellStyle name="Normal 8 2 3" xfId="416" xr:uid="{00000000-0005-0000-0000-000005020000}"/>
    <cellStyle name="Normal 8 3" xfId="244" xr:uid="{00000000-0005-0000-0000-000006020000}"/>
    <cellStyle name="Normal 8 3 2" xfId="483" xr:uid="{00000000-0005-0000-0000-000007020000}"/>
    <cellStyle name="Normal 8 4" xfId="369" xr:uid="{00000000-0005-0000-0000-000008020000}"/>
    <cellStyle name="Normal 9" xfId="125" xr:uid="{00000000-0005-0000-0000-000009020000}"/>
    <cellStyle name="Normal 9 2" xfId="176" xr:uid="{00000000-0005-0000-0000-00000A020000}"/>
    <cellStyle name="Normal 9 2 2" xfId="292" xr:uid="{00000000-0005-0000-0000-00000B020000}"/>
    <cellStyle name="Normal 9 2 2 2" xfId="531" xr:uid="{00000000-0005-0000-0000-00000C020000}"/>
    <cellStyle name="Normal 9 2 3" xfId="417" xr:uid="{00000000-0005-0000-0000-00000D020000}"/>
    <cellStyle name="Normal 9 3" xfId="245" xr:uid="{00000000-0005-0000-0000-00000E020000}"/>
    <cellStyle name="Normal 9 3 2" xfId="484" xr:uid="{00000000-0005-0000-0000-00000F020000}"/>
    <cellStyle name="Normal 9 4" xfId="370" xr:uid="{00000000-0005-0000-0000-000010020000}"/>
    <cellStyle name="Normal_C" xfId="2" xr:uid="{00000000-0005-0000-0000-000011020000}"/>
    <cellStyle name="Note 2" xfId="47" xr:uid="{00000000-0005-0000-0000-000012020000}"/>
    <cellStyle name="Note 2 2" xfId="143" xr:uid="{00000000-0005-0000-0000-000013020000}"/>
    <cellStyle name="Note 2 2 2" xfId="261" xr:uid="{00000000-0005-0000-0000-000014020000}"/>
    <cellStyle name="Note 2 2 2 2" xfId="500" xr:uid="{00000000-0005-0000-0000-000015020000}"/>
    <cellStyle name="Note 2 2 3" xfId="386" xr:uid="{00000000-0005-0000-0000-000016020000}"/>
    <cellStyle name="Note 2 3" xfId="214" xr:uid="{00000000-0005-0000-0000-000017020000}"/>
    <cellStyle name="Note 2 3 2" xfId="453" xr:uid="{00000000-0005-0000-0000-000018020000}"/>
    <cellStyle name="Note 2 4" xfId="339" xr:uid="{00000000-0005-0000-0000-000019020000}"/>
    <cellStyle name="Note 3" xfId="87" xr:uid="{00000000-0005-0000-0000-00001A020000}"/>
    <cellStyle name="Note 4" xfId="92" xr:uid="{00000000-0005-0000-0000-00001B020000}"/>
    <cellStyle name="Note 4 2" xfId="144" xr:uid="{00000000-0005-0000-0000-00001C020000}"/>
    <cellStyle name="Note 4 2 2" xfId="262" xr:uid="{00000000-0005-0000-0000-00001D020000}"/>
    <cellStyle name="Note 4 2 2 2" xfId="501" xr:uid="{00000000-0005-0000-0000-00001E020000}"/>
    <cellStyle name="Note 4 2 3" xfId="387" xr:uid="{00000000-0005-0000-0000-00001F020000}"/>
    <cellStyle name="Note 4 3" xfId="215" xr:uid="{00000000-0005-0000-0000-000020020000}"/>
    <cellStyle name="Note 4 3 2" xfId="454" xr:uid="{00000000-0005-0000-0000-000021020000}"/>
    <cellStyle name="Note 4 4" xfId="340" xr:uid="{00000000-0005-0000-0000-000022020000}"/>
    <cellStyle name="Note 5" xfId="107" xr:uid="{00000000-0005-0000-0000-000023020000}"/>
    <cellStyle name="Note 5 2" xfId="159" xr:uid="{00000000-0005-0000-0000-000024020000}"/>
    <cellStyle name="Note 5 2 2" xfId="277" xr:uid="{00000000-0005-0000-0000-000025020000}"/>
    <cellStyle name="Note 5 2 2 2" xfId="516" xr:uid="{00000000-0005-0000-0000-000026020000}"/>
    <cellStyle name="Note 5 2 3" xfId="402" xr:uid="{00000000-0005-0000-0000-000027020000}"/>
    <cellStyle name="Note 5 3" xfId="230" xr:uid="{00000000-0005-0000-0000-000028020000}"/>
    <cellStyle name="Note 5 3 2" xfId="469" xr:uid="{00000000-0005-0000-0000-000029020000}"/>
    <cellStyle name="Note 5 4" xfId="355" xr:uid="{00000000-0005-0000-0000-00002A020000}"/>
    <cellStyle name="Note 6" xfId="120" xr:uid="{00000000-0005-0000-0000-00002B020000}"/>
    <cellStyle name="Output" xfId="11" builtinId="21" customBuiltin="1"/>
    <cellStyle name="Output 2" xfId="88" xr:uid="{00000000-0005-0000-0000-00002D020000}"/>
    <cellStyle name="Percent" xfId="564" builtinId="5"/>
    <cellStyle name="Title 2" xfId="89" xr:uid="{00000000-0005-0000-0000-00002E020000}"/>
    <cellStyle name="Title 3" xfId="38" xr:uid="{00000000-0005-0000-0000-00002F020000}"/>
    <cellStyle name="Total" xfId="17" builtinId="25" customBuiltin="1"/>
    <cellStyle name="Total 2" xfId="90" xr:uid="{00000000-0005-0000-0000-000031020000}"/>
    <cellStyle name="Warning Text" xfId="15" builtinId="11" customBuiltin="1"/>
    <cellStyle name="Warning Text 2" xfId="91" xr:uid="{00000000-0005-0000-0000-00003302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X269"/>
  <sheetViews>
    <sheetView showGridLines="0" zoomScaleNormal="100" zoomScaleSheetLayoutView="80" workbookViewId="0">
      <pane xSplit="1" ySplit="8" topLeftCell="B243" activePane="bottomRight" state="frozen"/>
      <selection pane="topRight" activeCell="B1" sqref="B1"/>
      <selection pane="bottomLeft" activeCell="A15" sqref="A15"/>
      <selection pane="bottomRight" activeCell="E272" sqref="E272"/>
    </sheetView>
  </sheetViews>
  <sheetFormatPr defaultColWidth="9.625" defaultRowHeight="12" x14ac:dyDescent="0.15"/>
  <cols>
    <col min="1" max="1" width="8.75" style="1" customWidth="1"/>
    <col min="2" max="6" width="9.625" style="1" customWidth="1"/>
    <col min="7" max="7" width="11.125" style="1" customWidth="1"/>
    <col min="8" max="11" width="9.625" style="1" customWidth="1"/>
    <col min="12" max="12" width="10.5" style="1" customWidth="1"/>
    <col min="13" max="13" width="14.25" style="1" customWidth="1"/>
    <col min="14" max="14" width="9.625" style="1" customWidth="1"/>
    <col min="15" max="15" width="11.375" style="1" customWidth="1"/>
    <col min="16" max="17" width="9.625" style="1" customWidth="1"/>
    <col min="18" max="16384" width="9.625" style="1"/>
  </cols>
  <sheetData>
    <row r="1" spans="1:24" ht="18.75" customHeight="1" x14ac:dyDescent="0.25">
      <c r="A1" s="45" t="s">
        <v>85</v>
      </c>
      <c r="B1" s="45"/>
      <c r="C1" s="45"/>
      <c r="D1" s="45"/>
      <c r="E1" s="45"/>
      <c r="F1" s="45"/>
      <c r="G1" s="45"/>
      <c r="H1" s="45"/>
      <c r="I1" s="45"/>
      <c r="J1" s="45"/>
      <c r="K1" s="45"/>
      <c r="L1" s="45"/>
      <c r="M1" s="45"/>
      <c r="N1" s="45"/>
      <c r="O1" s="45"/>
      <c r="P1" s="45"/>
      <c r="Q1" s="45"/>
      <c r="R1" s="3"/>
      <c r="S1" s="3"/>
      <c r="T1" s="3"/>
      <c r="U1" s="3"/>
      <c r="V1" s="3"/>
      <c r="W1" s="3"/>
      <c r="X1" s="3"/>
    </row>
    <row r="2" spans="1:24" ht="11.45" customHeight="1" x14ac:dyDescent="0.2">
      <c r="A2" s="2"/>
      <c r="B2" s="2"/>
      <c r="C2" s="2"/>
      <c r="D2" s="2"/>
      <c r="E2" s="2"/>
      <c r="F2" s="2"/>
      <c r="G2" s="2"/>
      <c r="H2" s="2"/>
      <c r="I2" s="2"/>
      <c r="J2" s="2"/>
      <c r="K2" s="2"/>
      <c r="L2" s="2"/>
      <c r="M2" s="2"/>
      <c r="N2" s="2"/>
      <c r="O2" s="2"/>
      <c r="P2" s="2"/>
      <c r="Q2" s="2"/>
    </row>
    <row r="3" spans="1:24" ht="12.75" customHeight="1" x14ac:dyDescent="0.2">
      <c r="A3" s="4"/>
      <c r="B3" s="4"/>
      <c r="C3" s="4"/>
      <c r="D3" s="4"/>
      <c r="E3" s="4"/>
      <c r="F3" s="4"/>
      <c r="G3" s="4"/>
      <c r="H3" s="4"/>
      <c r="I3" s="4"/>
      <c r="J3" s="4"/>
      <c r="K3" s="4"/>
      <c r="L3" s="4"/>
      <c r="M3" s="4"/>
      <c r="N3" s="4"/>
      <c r="O3" s="4"/>
      <c r="P3" s="4"/>
      <c r="Q3" s="9" t="s">
        <v>0</v>
      </c>
    </row>
    <row r="4" spans="1:24" s="10" customFormat="1" ht="17.25" customHeight="1" x14ac:dyDescent="0.2">
      <c r="A4" s="5"/>
      <c r="B4" s="46" t="s">
        <v>54</v>
      </c>
      <c r="C4" s="47"/>
      <c r="D4" s="47"/>
      <c r="E4" s="47"/>
      <c r="F4" s="48"/>
      <c r="G4" s="46" t="s">
        <v>53</v>
      </c>
      <c r="H4" s="47"/>
      <c r="I4" s="47"/>
      <c r="J4" s="47"/>
      <c r="K4" s="48"/>
      <c r="L4" s="5"/>
      <c r="M4" s="6"/>
      <c r="N4" s="46" t="s">
        <v>95</v>
      </c>
      <c r="O4" s="47"/>
      <c r="P4" s="48"/>
      <c r="Q4" s="5"/>
    </row>
    <row r="5" spans="1:24" s="10" customFormat="1" ht="15" customHeight="1" x14ac:dyDescent="0.2">
      <c r="A5" s="8"/>
      <c r="B5" s="8"/>
      <c r="C5" s="8"/>
      <c r="D5" s="8"/>
      <c r="E5" s="8"/>
      <c r="F5" s="8"/>
      <c r="H5" s="7" t="s">
        <v>2</v>
      </c>
      <c r="I5" s="7" t="s">
        <v>3</v>
      </c>
      <c r="J5" s="8" t="s">
        <v>56</v>
      </c>
      <c r="K5" s="7"/>
      <c r="M5" s="8"/>
      <c r="N5" s="8"/>
      <c r="P5" s="8"/>
      <c r="Q5" s="8"/>
    </row>
    <row r="6" spans="1:24" s="10" customFormat="1" ht="15" customHeight="1" x14ac:dyDescent="0.2">
      <c r="A6" s="8"/>
      <c r="B6" s="7" t="s">
        <v>5</v>
      </c>
      <c r="C6" s="8"/>
      <c r="D6" s="7" t="s">
        <v>6</v>
      </c>
      <c r="E6" s="7" t="s">
        <v>4</v>
      </c>
      <c r="G6" s="7" t="s">
        <v>1</v>
      </c>
      <c r="H6" s="7" t="s">
        <v>8</v>
      </c>
      <c r="I6" s="7" t="s">
        <v>9</v>
      </c>
      <c r="J6" s="8" t="s">
        <v>51</v>
      </c>
      <c r="K6" s="7" t="s">
        <v>50</v>
      </c>
      <c r="L6" s="7" t="s">
        <v>83</v>
      </c>
      <c r="M6" s="8" t="s">
        <v>62</v>
      </c>
      <c r="N6" s="8"/>
      <c r="O6" s="7" t="s">
        <v>4</v>
      </c>
      <c r="Q6" s="7" t="s">
        <v>83</v>
      </c>
    </row>
    <row r="7" spans="1:24" s="10" customFormat="1" ht="15" customHeight="1" x14ac:dyDescent="0.2">
      <c r="A7" s="8" t="s">
        <v>10</v>
      </c>
      <c r="B7" s="7" t="s">
        <v>11</v>
      </c>
      <c r="C7" s="7" t="s">
        <v>12</v>
      </c>
      <c r="D7" s="7" t="s">
        <v>4</v>
      </c>
      <c r="E7" s="7" t="s">
        <v>48</v>
      </c>
      <c r="F7" s="7" t="s">
        <v>7</v>
      </c>
      <c r="G7" s="7" t="s">
        <v>75</v>
      </c>
      <c r="H7" s="7" t="s">
        <v>14</v>
      </c>
      <c r="I7" s="7" t="s">
        <v>4</v>
      </c>
      <c r="J7" s="8" t="s">
        <v>57</v>
      </c>
      <c r="K7" s="7" t="s">
        <v>51</v>
      </c>
      <c r="L7" s="8" t="s">
        <v>84</v>
      </c>
      <c r="M7" s="8" t="s">
        <v>63</v>
      </c>
      <c r="N7" s="7" t="s">
        <v>4</v>
      </c>
      <c r="O7" s="7" t="s">
        <v>48</v>
      </c>
      <c r="P7" s="7" t="s">
        <v>7</v>
      </c>
      <c r="Q7" s="8" t="s">
        <v>84</v>
      </c>
    </row>
    <row r="8" spans="1:24" s="10" customFormat="1" ht="15" customHeight="1" x14ac:dyDescent="0.2">
      <c r="A8" s="25" t="s">
        <v>15</v>
      </c>
      <c r="B8" s="26" t="s">
        <v>16</v>
      </c>
      <c r="C8" s="26" t="s">
        <v>17</v>
      </c>
      <c r="D8" s="26" t="s">
        <v>18</v>
      </c>
      <c r="E8" s="26" t="s">
        <v>19</v>
      </c>
      <c r="F8" s="26" t="s">
        <v>13</v>
      </c>
      <c r="G8" s="26" t="s">
        <v>20</v>
      </c>
      <c r="H8" s="26" t="s">
        <v>21</v>
      </c>
      <c r="I8" s="26" t="s">
        <v>18</v>
      </c>
      <c r="J8" s="25" t="s">
        <v>9</v>
      </c>
      <c r="K8" s="26" t="s">
        <v>52</v>
      </c>
      <c r="L8" s="25" t="s">
        <v>18</v>
      </c>
      <c r="M8" s="25" t="s">
        <v>64</v>
      </c>
      <c r="N8" s="26" t="s">
        <v>18</v>
      </c>
      <c r="O8" s="26" t="s">
        <v>77</v>
      </c>
      <c r="P8" s="26" t="s">
        <v>13</v>
      </c>
      <c r="Q8" s="25" t="s">
        <v>18</v>
      </c>
    </row>
    <row r="9" spans="1:24" s="10" customFormat="1" ht="15" customHeight="1" x14ac:dyDescent="0.2">
      <c r="A9" s="13" t="s">
        <v>22</v>
      </c>
      <c r="B9" s="15"/>
      <c r="C9" s="15"/>
      <c r="D9" s="15"/>
      <c r="E9" s="15"/>
      <c r="F9" s="15"/>
      <c r="G9" s="15"/>
      <c r="H9" s="15"/>
      <c r="I9" s="15"/>
      <c r="J9" s="15"/>
      <c r="K9" s="15"/>
      <c r="L9" s="15"/>
      <c r="M9" s="15"/>
      <c r="N9" s="15"/>
      <c r="O9" s="15"/>
      <c r="P9" s="15"/>
      <c r="Q9" s="15"/>
    </row>
    <row r="10" spans="1:24" s="10" customFormat="1" ht="12.75" x14ac:dyDescent="0.2">
      <c r="A10" s="16" t="s">
        <v>81</v>
      </c>
      <c r="B10" s="33">
        <v>0</v>
      </c>
      <c r="C10" s="33">
        <v>0</v>
      </c>
      <c r="D10" s="15">
        <v>16141</v>
      </c>
      <c r="E10" s="15">
        <v>519</v>
      </c>
      <c r="F10" s="15">
        <f>B10+C10+D10-E10</f>
        <v>15622</v>
      </c>
      <c r="G10" s="15">
        <v>336</v>
      </c>
      <c r="H10" s="15">
        <v>655</v>
      </c>
      <c r="I10" s="15">
        <v>1252</v>
      </c>
      <c r="J10" s="15">
        <f>F10+G10+H10+I10</f>
        <v>17865</v>
      </c>
      <c r="K10" s="15">
        <f>B10+C10+D10+G10+H10+I10</f>
        <v>18384</v>
      </c>
      <c r="L10" s="15">
        <v>7811</v>
      </c>
      <c r="M10" s="15">
        <v>14209</v>
      </c>
      <c r="N10" s="15">
        <f>L10-M10</f>
        <v>-6398</v>
      </c>
      <c r="O10" s="15">
        <f>J10+N10</f>
        <v>11467</v>
      </c>
      <c r="P10" s="15">
        <f t="shared" ref="P10" si="0">N10-O10</f>
        <v>-17865</v>
      </c>
      <c r="Q10" s="15">
        <f t="shared" ref="Q10" si="1">L10+P10</f>
        <v>-10054</v>
      </c>
    </row>
    <row r="11" spans="1:24" s="10" customFormat="1" ht="12.75" x14ac:dyDescent="0.2">
      <c r="A11" s="13" t="s">
        <v>24</v>
      </c>
      <c r="B11" s="19"/>
      <c r="C11" s="19"/>
      <c r="D11" s="15"/>
      <c r="E11" s="15"/>
      <c r="F11" s="15"/>
      <c r="G11" s="15"/>
      <c r="H11" s="15"/>
      <c r="I11" s="15"/>
      <c r="J11" s="15"/>
      <c r="K11" s="15"/>
      <c r="L11" s="15"/>
      <c r="M11" s="15"/>
      <c r="N11" s="15"/>
      <c r="O11" s="15"/>
      <c r="P11" s="15"/>
      <c r="Q11" s="15"/>
    </row>
    <row r="12" spans="1:24" s="10" customFormat="1" ht="12.75" x14ac:dyDescent="0.2">
      <c r="A12" s="16" t="s">
        <v>81</v>
      </c>
      <c r="B12" s="33">
        <v>0</v>
      </c>
      <c r="C12" s="33">
        <v>0</v>
      </c>
      <c r="D12" s="15">
        <v>25724</v>
      </c>
      <c r="E12" s="15">
        <v>2158</v>
      </c>
      <c r="F12" s="15">
        <f>B12+C12+D12-E12</f>
        <v>23566</v>
      </c>
      <c r="G12" s="15">
        <v>2057</v>
      </c>
      <c r="H12" s="15">
        <v>928</v>
      </c>
      <c r="I12" s="15">
        <v>1472</v>
      </c>
      <c r="J12" s="15">
        <f>F12+G12+H12+I12</f>
        <v>28023</v>
      </c>
      <c r="K12" s="15">
        <f>B12+C12+D12+G12+H12+I12</f>
        <v>30181</v>
      </c>
      <c r="L12" s="15">
        <v>11936</v>
      </c>
      <c r="M12" s="15">
        <v>14087</v>
      </c>
      <c r="N12" s="15">
        <f>L12-M12</f>
        <v>-2151</v>
      </c>
      <c r="O12" s="15">
        <f>J12+N12</f>
        <v>25872</v>
      </c>
      <c r="P12" s="15">
        <f>N12-O12</f>
        <v>-28023</v>
      </c>
      <c r="Q12" s="15">
        <f>L12+P12</f>
        <v>-16087</v>
      </c>
    </row>
    <row r="13" spans="1:24" s="10" customFormat="1" ht="12.75" x14ac:dyDescent="0.2">
      <c r="A13" s="13" t="s">
        <v>25</v>
      </c>
      <c r="B13" s="19"/>
      <c r="C13" s="19"/>
      <c r="D13" s="15"/>
      <c r="E13" s="15"/>
      <c r="F13" s="15"/>
      <c r="G13" s="15"/>
      <c r="H13" s="15"/>
      <c r="I13" s="15"/>
      <c r="J13" s="15"/>
      <c r="K13" s="15"/>
      <c r="L13" s="15"/>
      <c r="M13" s="15"/>
      <c r="N13" s="15"/>
      <c r="O13" s="15"/>
      <c r="P13" s="15"/>
      <c r="Q13" s="15"/>
    </row>
    <row r="14" spans="1:24" s="10" customFormat="1" ht="12.75" x14ac:dyDescent="0.2">
      <c r="A14" s="16" t="s">
        <v>81</v>
      </c>
      <c r="B14" s="33">
        <v>0</v>
      </c>
      <c r="C14" s="33">
        <v>0</v>
      </c>
      <c r="D14" s="15">
        <v>20250</v>
      </c>
      <c r="E14" s="15">
        <v>906</v>
      </c>
      <c r="F14" s="15">
        <f>B14+C14+D14-E14</f>
        <v>19344</v>
      </c>
      <c r="G14" s="15">
        <v>676</v>
      </c>
      <c r="H14" s="15">
        <v>960</v>
      </c>
      <c r="I14" s="15">
        <v>1808</v>
      </c>
      <c r="J14" s="15">
        <f>F14+G14+H14+I14</f>
        <v>22788</v>
      </c>
      <c r="K14" s="15">
        <f>B14+C14+D14+G14+H14+I14</f>
        <v>23694</v>
      </c>
      <c r="L14" s="15">
        <v>19861</v>
      </c>
      <c r="M14" s="15">
        <v>32921</v>
      </c>
      <c r="N14" s="15">
        <f>L14-M14</f>
        <v>-13060</v>
      </c>
      <c r="O14" s="15">
        <f>J14+N14</f>
        <v>9728</v>
      </c>
      <c r="P14" s="15">
        <f t="shared" ref="P14" si="2">N14-O14</f>
        <v>-22788</v>
      </c>
      <c r="Q14" s="15">
        <f t="shared" ref="Q14" si="3">L14+P14</f>
        <v>-2927</v>
      </c>
    </row>
    <row r="15" spans="1:24" s="10" customFormat="1" ht="12.75" x14ac:dyDescent="0.2">
      <c r="A15" s="13" t="s">
        <v>26</v>
      </c>
      <c r="B15" s="19"/>
      <c r="C15" s="19"/>
      <c r="D15" s="15"/>
      <c r="E15" s="15"/>
      <c r="F15" s="15"/>
      <c r="G15" s="15"/>
      <c r="H15" s="15"/>
      <c r="I15" s="15"/>
      <c r="J15" s="15"/>
      <c r="K15" s="15"/>
      <c r="L15" s="15"/>
      <c r="M15" s="15"/>
      <c r="N15" s="15"/>
      <c r="O15" s="15"/>
      <c r="P15" s="15"/>
      <c r="Q15" s="15"/>
    </row>
    <row r="16" spans="1:24" s="10" customFormat="1" ht="12.75" x14ac:dyDescent="0.2">
      <c r="A16" s="16" t="s">
        <v>81</v>
      </c>
      <c r="B16" s="33">
        <v>0</v>
      </c>
      <c r="C16" s="33">
        <v>0</v>
      </c>
      <c r="D16" s="15">
        <v>24771</v>
      </c>
      <c r="E16" s="15">
        <v>900</v>
      </c>
      <c r="F16" s="15">
        <f>B16+C16+D16-E16</f>
        <v>23871</v>
      </c>
      <c r="G16" s="15">
        <v>580</v>
      </c>
      <c r="H16" s="15">
        <v>1419</v>
      </c>
      <c r="I16" s="15">
        <v>618</v>
      </c>
      <c r="J16" s="15">
        <f>F16+G16+H16+I16</f>
        <v>26488</v>
      </c>
      <c r="K16" s="15">
        <f>B16+C16+D16+G16+H16+I16</f>
        <v>27388</v>
      </c>
      <c r="L16" s="15">
        <v>22555</v>
      </c>
      <c r="M16" s="15">
        <v>37263</v>
      </c>
      <c r="N16" s="15">
        <f>L16-M16</f>
        <v>-14708</v>
      </c>
      <c r="O16" s="15">
        <f>J16+N16</f>
        <v>11780</v>
      </c>
      <c r="P16" s="15">
        <f t="shared" ref="P16" si="4">N16-O16</f>
        <v>-26488</v>
      </c>
      <c r="Q16" s="15">
        <f t="shared" ref="Q16" si="5">L16+P16</f>
        <v>-3933</v>
      </c>
    </row>
    <row r="17" spans="1:17" s="10" customFormat="1" ht="12.75" x14ac:dyDescent="0.2">
      <c r="A17" s="13" t="s">
        <v>27</v>
      </c>
      <c r="B17" s="19"/>
      <c r="C17" s="19"/>
      <c r="D17" s="15"/>
      <c r="E17" s="15"/>
      <c r="F17" s="15"/>
      <c r="G17" s="15"/>
      <c r="H17" s="15"/>
      <c r="I17" s="15"/>
      <c r="J17" s="15"/>
      <c r="K17" s="15"/>
      <c r="L17" s="15"/>
      <c r="M17" s="15"/>
      <c r="N17" s="15"/>
      <c r="O17" s="15"/>
      <c r="P17" s="15"/>
      <c r="Q17" s="15"/>
    </row>
    <row r="18" spans="1:17" s="10" customFormat="1" ht="12.75" x14ac:dyDescent="0.2">
      <c r="A18" s="16" t="s">
        <v>81</v>
      </c>
      <c r="B18" s="33">
        <v>0</v>
      </c>
      <c r="C18" s="33">
        <v>0</v>
      </c>
      <c r="D18" s="15">
        <v>20654</v>
      </c>
      <c r="E18" s="15">
        <v>387</v>
      </c>
      <c r="F18" s="15">
        <f>B18+C18+D18-E18</f>
        <v>20267</v>
      </c>
      <c r="G18" s="15">
        <v>15</v>
      </c>
      <c r="H18" s="15">
        <v>1359</v>
      </c>
      <c r="I18" s="15">
        <v>530</v>
      </c>
      <c r="J18" s="15">
        <f>F18+G18+H18+I18</f>
        <v>22171</v>
      </c>
      <c r="K18" s="15">
        <f>B18+C18+D18+G18+H18+I18</f>
        <v>22558</v>
      </c>
      <c r="L18" s="15">
        <v>22951</v>
      </c>
      <c r="M18" s="15">
        <v>41204</v>
      </c>
      <c r="N18" s="15">
        <f>L18-M18</f>
        <v>-18253</v>
      </c>
      <c r="O18" s="15">
        <f>J18+N18</f>
        <v>3918</v>
      </c>
      <c r="P18" s="15">
        <f t="shared" ref="P18" si="6">N18-O18</f>
        <v>-22171</v>
      </c>
      <c r="Q18" s="15">
        <f t="shared" ref="Q18" si="7">L18+P18</f>
        <v>780</v>
      </c>
    </row>
    <row r="19" spans="1:17" s="10" customFormat="1" ht="12.75" x14ac:dyDescent="0.2">
      <c r="A19" s="13" t="s">
        <v>28</v>
      </c>
      <c r="B19" s="15"/>
      <c r="C19" s="15"/>
      <c r="D19" s="15"/>
      <c r="E19" s="15"/>
      <c r="F19" s="15"/>
      <c r="G19" s="15"/>
      <c r="H19" s="15"/>
      <c r="I19" s="15"/>
      <c r="J19" s="15"/>
      <c r="K19" s="15"/>
      <c r="L19" s="15"/>
      <c r="M19" s="15"/>
      <c r="N19" s="15"/>
      <c r="O19" s="15"/>
      <c r="P19" s="15"/>
      <c r="Q19" s="15"/>
    </row>
    <row r="20" spans="1:17" s="10" customFormat="1" ht="12.75" x14ac:dyDescent="0.2">
      <c r="A20" s="16" t="s">
        <v>81</v>
      </c>
      <c r="B20" s="15">
        <v>2914</v>
      </c>
      <c r="C20" s="18">
        <v>0</v>
      </c>
      <c r="D20" s="15">
        <v>16796</v>
      </c>
      <c r="E20" s="15">
        <v>384</v>
      </c>
      <c r="F20" s="15">
        <v>19326</v>
      </c>
      <c r="G20" s="15">
        <v>57</v>
      </c>
      <c r="H20" s="15">
        <v>1937</v>
      </c>
      <c r="I20" s="15">
        <v>594</v>
      </c>
      <c r="J20" s="15">
        <v>21914</v>
      </c>
      <c r="K20" s="15">
        <v>22298</v>
      </c>
      <c r="L20" s="15">
        <v>14068</v>
      </c>
      <c r="M20" s="15">
        <v>42671</v>
      </c>
      <c r="N20" s="15">
        <v>-28603</v>
      </c>
      <c r="O20" s="15">
        <v>-6689</v>
      </c>
      <c r="P20" s="15">
        <f t="shared" ref="P20" si="8">N20-O20</f>
        <v>-21914</v>
      </c>
      <c r="Q20" s="15">
        <f t="shared" ref="Q20" si="9">L20+P20</f>
        <v>-7846</v>
      </c>
    </row>
    <row r="21" spans="1:17" s="10" customFormat="1" ht="12.75" x14ac:dyDescent="0.2">
      <c r="A21" s="13" t="s">
        <v>29</v>
      </c>
      <c r="B21" s="15"/>
      <c r="C21" s="15"/>
      <c r="D21" s="15"/>
      <c r="E21" s="15"/>
      <c r="F21" s="15"/>
      <c r="G21" s="15"/>
      <c r="H21" s="15"/>
      <c r="I21" s="15"/>
      <c r="J21" s="15"/>
      <c r="K21" s="15"/>
      <c r="L21" s="15"/>
      <c r="M21" s="15"/>
      <c r="N21" s="15" t="s">
        <v>23</v>
      </c>
      <c r="O21" s="15"/>
      <c r="P21" s="15"/>
      <c r="Q21" s="15"/>
    </row>
    <row r="22" spans="1:17" s="10" customFormat="1" ht="12.75" x14ac:dyDescent="0.2">
      <c r="A22" s="16" t="s">
        <v>78</v>
      </c>
      <c r="B22" s="15">
        <v>2879</v>
      </c>
      <c r="C22" s="18">
        <v>0</v>
      </c>
      <c r="D22" s="15">
        <v>21658</v>
      </c>
      <c r="E22" s="15">
        <v>232</v>
      </c>
      <c r="F22" s="15">
        <v>24305</v>
      </c>
      <c r="G22" s="15">
        <v>516</v>
      </c>
      <c r="H22" s="15">
        <v>2330</v>
      </c>
      <c r="I22" s="15">
        <v>557</v>
      </c>
      <c r="J22" s="15">
        <v>27708</v>
      </c>
      <c r="K22" s="15">
        <f>B22+C22+D22+G22+H22+I22</f>
        <v>27940</v>
      </c>
      <c r="L22" s="15">
        <v>21528</v>
      </c>
      <c r="M22" s="15">
        <v>51367</v>
      </c>
      <c r="N22" s="15">
        <f>L22-M22</f>
        <v>-29839</v>
      </c>
      <c r="O22" s="15">
        <f>J22+N22</f>
        <v>-2131</v>
      </c>
      <c r="P22" s="15">
        <f t="shared" ref="P22:P25" si="10">N22-O22</f>
        <v>-27708</v>
      </c>
      <c r="Q22" s="15">
        <f t="shared" ref="Q22:Q25" si="11">L22+P22</f>
        <v>-6180</v>
      </c>
    </row>
    <row r="23" spans="1:17" s="10" customFormat="1" ht="12.75" x14ac:dyDescent="0.2">
      <c r="A23" s="16" t="s">
        <v>79</v>
      </c>
      <c r="B23" s="15">
        <v>2846</v>
      </c>
      <c r="C23" s="15">
        <v>49</v>
      </c>
      <c r="D23" s="15">
        <v>33206</v>
      </c>
      <c r="E23" s="15">
        <v>10599</v>
      </c>
      <c r="F23" s="15">
        <v>25502</v>
      </c>
      <c r="G23" s="15">
        <v>968</v>
      </c>
      <c r="H23" s="15">
        <v>2424</v>
      </c>
      <c r="I23" s="15">
        <v>613</v>
      </c>
      <c r="J23" s="15">
        <v>29507</v>
      </c>
      <c r="K23" s="15">
        <f>B23+C23+D23+G23+H23+I23</f>
        <v>40106</v>
      </c>
      <c r="L23" s="15">
        <v>21482</v>
      </c>
      <c r="M23" s="15">
        <v>50995</v>
      </c>
      <c r="N23" s="15">
        <f>L23-M23</f>
        <v>-29513</v>
      </c>
      <c r="O23" s="15">
        <f>J23+N23</f>
        <v>-6</v>
      </c>
      <c r="P23" s="15">
        <f t="shared" si="10"/>
        <v>-29507</v>
      </c>
      <c r="Q23" s="15">
        <f t="shared" si="11"/>
        <v>-8025</v>
      </c>
    </row>
    <row r="24" spans="1:17" s="10" customFormat="1" ht="12.75" x14ac:dyDescent="0.2">
      <c r="A24" s="16" t="s">
        <v>80</v>
      </c>
      <c r="B24" s="15">
        <v>2759</v>
      </c>
      <c r="C24" s="15">
        <v>14</v>
      </c>
      <c r="D24" s="15">
        <v>23213</v>
      </c>
      <c r="E24" s="15">
        <v>8105</v>
      </c>
      <c r="F24" s="15">
        <v>17881</v>
      </c>
      <c r="G24" s="15">
        <v>74</v>
      </c>
      <c r="H24" s="15">
        <v>2776</v>
      </c>
      <c r="I24" s="15">
        <v>564</v>
      </c>
      <c r="J24" s="15">
        <v>21295</v>
      </c>
      <c r="K24" s="15">
        <f>B24+C24+D24+G24+H24+I24</f>
        <v>29400</v>
      </c>
      <c r="L24" s="15">
        <v>18450</v>
      </c>
      <c r="M24" s="15">
        <v>42818</v>
      </c>
      <c r="N24" s="15">
        <f>L24-M24</f>
        <v>-24368</v>
      </c>
      <c r="O24" s="15">
        <f>J24+N24</f>
        <v>-3073</v>
      </c>
      <c r="P24" s="15">
        <f t="shared" si="10"/>
        <v>-21295</v>
      </c>
      <c r="Q24" s="15">
        <f t="shared" si="11"/>
        <v>-2845</v>
      </c>
    </row>
    <row r="25" spans="1:17" s="10" customFormat="1" ht="12.75" x14ac:dyDescent="0.2">
      <c r="A25" s="16" t="s">
        <v>81</v>
      </c>
      <c r="B25" s="15">
        <v>3969</v>
      </c>
      <c r="C25" s="15">
        <v>22</v>
      </c>
      <c r="D25" s="15">
        <v>14555</v>
      </c>
      <c r="E25" s="15">
        <v>8497</v>
      </c>
      <c r="F25" s="15">
        <v>10049</v>
      </c>
      <c r="G25" s="15">
        <v>142</v>
      </c>
      <c r="H25" s="15">
        <v>3000</v>
      </c>
      <c r="I25" s="15">
        <v>542</v>
      </c>
      <c r="J25" s="15">
        <v>13733</v>
      </c>
      <c r="K25" s="15">
        <f>B25+C25+D25+G25+H25+I25</f>
        <v>22230</v>
      </c>
      <c r="L25" s="15">
        <v>18483</v>
      </c>
      <c r="M25" s="15">
        <v>42679</v>
      </c>
      <c r="N25" s="15">
        <f>L25-M25</f>
        <v>-24196</v>
      </c>
      <c r="O25" s="15">
        <f>J25+N25</f>
        <v>-10463</v>
      </c>
      <c r="P25" s="15">
        <f t="shared" si="10"/>
        <v>-13733</v>
      </c>
      <c r="Q25" s="15">
        <f t="shared" si="11"/>
        <v>4750</v>
      </c>
    </row>
    <row r="26" spans="1:17" s="10" customFormat="1" ht="12.75" x14ac:dyDescent="0.2">
      <c r="A26" s="13" t="s">
        <v>30</v>
      </c>
      <c r="B26" s="15"/>
      <c r="C26" s="15"/>
      <c r="D26" s="15"/>
      <c r="E26" s="15"/>
      <c r="F26" s="15"/>
      <c r="G26" s="15"/>
      <c r="H26" s="15"/>
      <c r="I26" s="15"/>
      <c r="J26" s="15"/>
      <c r="K26" s="15"/>
      <c r="L26" s="15"/>
      <c r="M26" s="15"/>
      <c r="N26" s="15"/>
      <c r="O26" s="15"/>
      <c r="P26" s="15"/>
      <c r="Q26" s="15"/>
    </row>
    <row r="27" spans="1:17" s="10" customFormat="1" ht="12.75" x14ac:dyDescent="0.2">
      <c r="A27" s="16" t="s">
        <v>78</v>
      </c>
      <c r="B27" s="15">
        <v>4019</v>
      </c>
      <c r="C27" s="15">
        <v>38</v>
      </c>
      <c r="D27" s="15">
        <v>13653</v>
      </c>
      <c r="E27" s="15">
        <v>8810</v>
      </c>
      <c r="F27" s="15">
        <v>8900</v>
      </c>
      <c r="G27" s="15">
        <v>1515</v>
      </c>
      <c r="H27" s="15">
        <v>4555</v>
      </c>
      <c r="I27" s="15">
        <v>577</v>
      </c>
      <c r="J27" s="15">
        <v>15547</v>
      </c>
      <c r="K27" s="15">
        <f>B27+C27+D27+G27+H27+I27</f>
        <v>24357</v>
      </c>
      <c r="L27" s="15">
        <v>21458</v>
      </c>
      <c r="M27" s="15">
        <v>41662</v>
      </c>
      <c r="N27" s="15">
        <f>L27-M27</f>
        <v>-20204</v>
      </c>
      <c r="O27" s="15">
        <f>J27+N27</f>
        <v>-4657</v>
      </c>
      <c r="P27" s="15">
        <f t="shared" ref="P27:P30" si="12">N27-O27</f>
        <v>-15547</v>
      </c>
      <c r="Q27" s="15">
        <f t="shared" ref="Q27:Q30" si="13">L27+P27</f>
        <v>5911</v>
      </c>
    </row>
    <row r="28" spans="1:17" s="10" customFormat="1" ht="12.75" x14ac:dyDescent="0.2">
      <c r="A28" s="16" t="s">
        <v>79</v>
      </c>
      <c r="B28" s="15">
        <v>3948</v>
      </c>
      <c r="C28" s="15">
        <v>78</v>
      </c>
      <c r="D28" s="15">
        <v>5682</v>
      </c>
      <c r="E28" s="15">
        <v>8359</v>
      </c>
      <c r="F28" s="15">
        <v>1349</v>
      </c>
      <c r="G28" s="15">
        <v>218</v>
      </c>
      <c r="H28" s="15">
        <v>1036</v>
      </c>
      <c r="I28" s="15">
        <v>554</v>
      </c>
      <c r="J28" s="15">
        <v>3157</v>
      </c>
      <c r="K28" s="15">
        <f>B28+C28+D28+G28+H28+I28</f>
        <v>11516</v>
      </c>
      <c r="L28" s="15">
        <v>23691</v>
      </c>
      <c r="M28" s="15">
        <v>43906</v>
      </c>
      <c r="N28" s="15">
        <f>L28-M28</f>
        <v>-20215</v>
      </c>
      <c r="O28" s="15">
        <f>J28+N28</f>
        <v>-17058</v>
      </c>
      <c r="P28" s="15">
        <f t="shared" si="12"/>
        <v>-3157</v>
      </c>
      <c r="Q28" s="15">
        <f t="shared" si="13"/>
        <v>20534</v>
      </c>
    </row>
    <row r="29" spans="1:17" s="10" customFormat="1" ht="12.75" x14ac:dyDescent="0.2">
      <c r="A29" s="16" t="s">
        <v>80</v>
      </c>
      <c r="B29" s="15">
        <v>3854</v>
      </c>
      <c r="C29" s="15">
        <v>62</v>
      </c>
      <c r="D29" s="15">
        <v>13606</v>
      </c>
      <c r="E29" s="15">
        <v>14405</v>
      </c>
      <c r="F29" s="15">
        <v>3117</v>
      </c>
      <c r="G29" s="15">
        <v>146</v>
      </c>
      <c r="H29" s="15">
        <v>951</v>
      </c>
      <c r="I29" s="15">
        <v>528</v>
      </c>
      <c r="J29" s="15">
        <v>4742</v>
      </c>
      <c r="K29" s="15">
        <f>B29+C29+D29+G29+H29+I29</f>
        <v>19147</v>
      </c>
      <c r="L29" s="15">
        <v>21778</v>
      </c>
      <c r="M29" s="15">
        <v>48975</v>
      </c>
      <c r="N29" s="15">
        <f>L29-M29</f>
        <v>-27197</v>
      </c>
      <c r="O29" s="15">
        <f>J29+N29</f>
        <v>-22455</v>
      </c>
      <c r="P29" s="15">
        <f t="shared" si="12"/>
        <v>-4742</v>
      </c>
      <c r="Q29" s="15">
        <f t="shared" si="13"/>
        <v>17036</v>
      </c>
    </row>
    <row r="30" spans="1:17" s="10" customFormat="1" ht="12.75" x14ac:dyDescent="0.2">
      <c r="A30" s="16" t="s">
        <v>81</v>
      </c>
      <c r="B30" s="15">
        <v>3716</v>
      </c>
      <c r="C30" s="15">
        <v>10</v>
      </c>
      <c r="D30" s="15">
        <f>12127-C30-B30</f>
        <v>8401</v>
      </c>
      <c r="E30" s="15">
        <v>17135</v>
      </c>
      <c r="F30" s="15">
        <f>B30+C30+D30-E30</f>
        <v>-5008</v>
      </c>
      <c r="G30" s="15">
        <v>131</v>
      </c>
      <c r="H30" s="15">
        <v>4132</v>
      </c>
      <c r="I30" s="15">
        <v>545</v>
      </c>
      <c r="J30" s="15">
        <v>-200</v>
      </c>
      <c r="K30" s="15">
        <v>16935</v>
      </c>
      <c r="L30" s="15">
        <v>18940</v>
      </c>
      <c r="M30" s="15">
        <v>45851</v>
      </c>
      <c r="N30" s="15">
        <f>L30-M30</f>
        <v>-26911</v>
      </c>
      <c r="O30" s="15">
        <f>J30+N30</f>
        <v>-27111</v>
      </c>
      <c r="P30" s="15">
        <f t="shared" si="12"/>
        <v>200</v>
      </c>
      <c r="Q30" s="15">
        <f t="shared" si="13"/>
        <v>19140</v>
      </c>
    </row>
    <row r="31" spans="1:17" s="10" customFormat="1" ht="12.75" x14ac:dyDescent="0.2">
      <c r="A31" s="13" t="s">
        <v>31</v>
      </c>
      <c r="B31" s="15"/>
      <c r="C31" s="15"/>
      <c r="D31" s="15"/>
      <c r="E31" s="15" t="s">
        <v>23</v>
      </c>
      <c r="F31" s="15"/>
      <c r="G31" s="15"/>
      <c r="H31" s="15"/>
      <c r="I31" s="15"/>
      <c r="J31" s="15"/>
      <c r="K31" s="15"/>
      <c r="L31" s="15"/>
      <c r="M31" s="15"/>
      <c r="N31" s="15"/>
      <c r="O31" s="15"/>
      <c r="P31" s="15"/>
      <c r="Q31" s="15"/>
    </row>
    <row r="32" spans="1:17" s="10" customFormat="1" ht="12.75" x14ac:dyDescent="0.2">
      <c r="A32" s="16" t="s">
        <v>78</v>
      </c>
      <c r="B32" s="19">
        <v>3758</v>
      </c>
      <c r="C32" s="19">
        <v>53</v>
      </c>
      <c r="D32" s="19">
        <v>11192</v>
      </c>
      <c r="E32" s="19">
        <v>12404</v>
      </c>
      <c r="F32" s="15">
        <f>B32+C32+D32-E32</f>
        <v>2599</v>
      </c>
      <c r="G32" s="19">
        <v>74</v>
      </c>
      <c r="H32" s="19">
        <v>1631</v>
      </c>
      <c r="I32" s="19">
        <v>545</v>
      </c>
      <c r="J32" s="15">
        <v>4849</v>
      </c>
      <c r="K32" s="15">
        <f>B32+C32+D32+G32+H32+I32</f>
        <v>17253</v>
      </c>
      <c r="L32" s="15">
        <v>23169</v>
      </c>
      <c r="M32" s="15">
        <v>37196</v>
      </c>
      <c r="N32" s="15">
        <f>L32-M32</f>
        <v>-14027</v>
      </c>
      <c r="O32" s="15">
        <f>J32+N32</f>
        <v>-9178</v>
      </c>
      <c r="P32" s="15">
        <f t="shared" ref="P32:P34" si="14">N32-O32</f>
        <v>-4849</v>
      </c>
      <c r="Q32" s="15">
        <f t="shared" ref="Q32:Q34" si="15">L32+P32</f>
        <v>18320</v>
      </c>
    </row>
    <row r="33" spans="1:17" s="10" customFormat="1" ht="12.75" x14ac:dyDescent="0.2">
      <c r="A33" s="16" t="s">
        <v>79</v>
      </c>
      <c r="B33" s="19">
        <v>3785</v>
      </c>
      <c r="C33" s="19">
        <v>53</v>
      </c>
      <c r="D33" s="19">
        <v>16290</v>
      </c>
      <c r="E33" s="19">
        <v>13408</v>
      </c>
      <c r="F33" s="15">
        <f>B33+C33+D33-E33</f>
        <v>6720</v>
      </c>
      <c r="G33" s="19">
        <v>54</v>
      </c>
      <c r="H33" s="19">
        <v>1811</v>
      </c>
      <c r="I33" s="19">
        <v>618</v>
      </c>
      <c r="J33" s="15">
        <v>9203</v>
      </c>
      <c r="K33" s="15">
        <f>B33+C33+D33+G33+H33+I33</f>
        <v>22611</v>
      </c>
      <c r="L33" s="15">
        <v>26240</v>
      </c>
      <c r="M33" s="15">
        <v>38661</v>
      </c>
      <c r="N33" s="15">
        <f>L33-M33</f>
        <v>-12421</v>
      </c>
      <c r="O33" s="15">
        <f>J33+N33</f>
        <v>-3218</v>
      </c>
      <c r="P33" s="15">
        <f t="shared" si="14"/>
        <v>-9203</v>
      </c>
      <c r="Q33" s="15">
        <f t="shared" si="15"/>
        <v>17037</v>
      </c>
    </row>
    <row r="34" spans="1:17" s="10" customFormat="1" ht="12.75" x14ac:dyDescent="0.2">
      <c r="A34" s="16" t="s">
        <v>80</v>
      </c>
      <c r="B34" s="19">
        <v>4016</v>
      </c>
      <c r="C34" s="19">
        <v>52</v>
      </c>
      <c r="D34" s="19">
        <v>22060</v>
      </c>
      <c r="E34" s="19">
        <v>18559</v>
      </c>
      <c r="F34" s="15">
        <f>B34+C34+D34-E34</f>
        <v>7569</v>
      </c>
      <c r="G34" s="19">
        <v>167</v>
      </c>
      <c r="H34" s="19">
        <v>2503</v>
      </c>
      <c r="I34" s="19">
        <v>688</v>
      </c>
      <c r="J34" s="15">
        <v>10927</v>
      </c>
      <c r="K34" s="15">
        <f>B34+C34+D34+G34+H34+I34</f>
        <v>29486</v>
      </c>
      <c r="L34" s="15">
        <v>18234</v>
      </c>
      <c r="M34" s="15">
        <v>39125</v>
      </c>
      <c r="N34" s="15">
        <f>L34-M34</f>
        <v>-20891</v>
      </c>
      <c r="O34" s="15">
        <f>J34+N34</f>
        <v>-9964</v>
      </c>
      <c r="P34" s="15">
        <f t="shared" si="14"/>
        <v>-10927</v>
      </c>
      <c r="Q34" s="15">
        <f t="shared" si="15"/>
        <v>7307</v>
      </c>
    </row>
    <row r="35" spans="1:17" s="10" customFormat="1" ht="12.75" x14ac:dyDescent="0.2">
      <c r="A35" s="16" t="s">
        <v>81</v>
      </c>
      <c r="B35" s="15">
        <v>4164</v>
      </c>
      <c r="C35" s="15">
        <v>9</v>
      </c>
      <c r="D35" s="15">
        <f>29625-C35-B35</f>
        <v>25452</v>
      </c>
      <c r="E35" s="15">
        <v>22064</v>
      </c>
      <c r="F35" s="15">
        <f>B35+C35+D35-E35</f>
        <v>7561</v>
      </c>
      <c r="G35" s="15">
        <v>1</v>
      </c>
      <c r="H35" s="15">
        <v>1510</v>
      </c>
      <c r="I35" s="15">
        <v>692</v>
      </c>
      <c r="J35" s="15">
        <v>9764</v>
      </c>
      <c r="K35" s="15">
        <v>31828</v>
      </c>
      <c r="L35" s="15">
        <v>19273</v>
      </c>
      <c r="M35" s="15">
        <v>35782</v>
      </c>
      <c r="N35" s="15">
        <f>L35-M35</f>
        <v>-16509</v>
      </c>
      <c r="O35" s="15">
        <f>J35+N35</f>
        <v>-6745</v>
      </c>
      <c r="P35" s="15">
        <f t="shared" ref="P35" si="16">N35-O35</f>
        <v>-9764</v>
      </c>
      <c r="Q35" s="15">
        <f t="shared" ref="Q35" si="17">L35+P35</f>
        <v>9509</v>
      </c>
    </row>
    <row r="36" spans="1:17" s="10" customFormat="1" ht="12.75" x14ac:dyDescent="0.2">
      <c r="A36" s="13" t="s">
        <v>32</v>
      </c>
      <c r="B36" s="15"/>
      <c r="C36" s="15"/>
      <c r="D36" s="15"/>
      <c r="E36" s="15"/>
      <c r="F36" s="15"/>
      <c r="G36" s="15"/>
      <c r="H36" s="15"/>
      <c r="I36" s="15"/>
      <c r="J36" s="15"/>
      <c r="K36" s="15"/>
      <c r="L36" s="15"/>
      <c r="M36" s="15"/>
      <c r="N36" s="15"/>
      <c r="O36" s="15"/>
      <c r="P36" s="15"/>
      <c r="Q36" s="15" t="s">
        <v>23</v>
      </c>
    </row>
    <row r="37" spans="1:17" s="10" customFormat="1" ht="12.75" x14ac:dyDescent="0.2">
      <c r="A37" s="20" t="s">
        <v>86</v>
      </c>
      <c r="B37" s="15">
        <v>4213</v>
      </c>
      <c r="C37" s="15">
        <v>9</v>
      </c>
      <c r="D37" s="15">
        <f>35013-C37-B37</f>
        <v>30791</v>
      </c>
      <c r="E37" s="15">
        <v>22405</v>
      </c>
      <c r="F37" s="15">
        <f t="shared" ref="F37:F48" si="18">B37+C37+D37-E37</f>
        <v>12608</v>
      </c>
      <c r="G37" s="15">
        <v>367</v>
      </c>
      <c r="H37" s="15">
        <v>3381</v>
      </c>
      <c r="I37" s="15">
        <v>566</v>
      </c>
      <c r="J37" s="17">
        <v>0</v>
      </c>
      <c r="K37" s="17">
        <v>0</v>
      </c>
      <c r="L37" s="15">
        <f t="shared" ref="L37:L48" si="19">F37+G37+H37+I37+J37+K37</f>
        <v>16922</v>
      </c>
      <c r="M37" s="15">
        <f t="shared" ref="M37:M61" si="20">B37+C37+D37+G37+H37+I37+J37+K37</f>
        <v>39327</v>
      </c>
      <c r="N37" s="15">
        <v>20289</v>
      </c>
      <c r="O37" s="15">
        <v>31846</v>
      </c>
      <c r="P37" s="15">
        <f t="shared" ref="P37:P48" si="21">N37-O37</f>
        <v>-11557</v>
      </c>
      <c r="Q37" s="15">
        <f t="shared" ref="Q37:Q48" si="22">L37+P37</f>
        <v>5365</v>
      </c>
    </row>
    <row r="38" spans="1:17" s="10" customFormat="1" ht="12.75" x14ac:dyDescent="0.2">
      <c r="A38" s="20" t="s">
        <v>87</v>
      </c>
      <c r="B38" s="15">
        <v>4382</v>
      </c>
      <c r="C38" s="15">
        <v>5</v>
      </c>
      <c r="D38" s="15">
        <f>39178-C38-B38</f>
        <v>34791</v>
      </c>
      <c r="E38" s="15">
        <v>22898</v>
      </c>
      <c r="F38" s="15">
        <f t="shared" si="18"/>
        <v>16280</v>
      </c>
      <c r="G38" s="15">
        <v>335</v>
      </c>
      <c r="H38" s="15">
        <v>3381</v>
      </c>
      <c r="I38" s="15">
        <v>566</v>
      </c>
      <c r="J38" s="17">
        <v>0</v>
      </c>
      <c r="K38" s="17">
        <v>0</v>
      </c>
      <c r="L38" s="15">
        <f t="shared" si="19"/>
        <v>20562</v>
      </c>
      <c r="M38" s="15">
        <f t="shared" si="20"/>
        <v>43460</v>
      </c>
      <c r="N38" s="15">
        <v>23249</v>
      </c>
      <c r="O38" s="15">
        <v>37351</v>
      </c>
      <c r="P38" s="15">
        <f t="shared" si="21"/>
        <v>-14102</v>
      </c>
      <c r="Q38" s="15">
        <f t="shared" si="22"/>
        <v>6460</v>
      </c>
    </row>
    <row r="39" spans="1:17" s="10" customFormat="1" ht="12.75" x14ac:dyDescent="0.2">
      <c r="A39" s="20" t="s">
        <v>78</v>
      </c>
      <c r="B39" s="15">
        <v>4315</v>
      </c>
      <c r="C39" s="15">
        <v>5</v>
      </c>
      <c r="D39" s="15">
        <f>44287-C39-B39</f>
        <v>39967</v>
      </c>
      <c r="E39" s="15">
        <v>22659</v>
      </c>
      <c r="F39" s="15">
        <f t="shared" si="18"/>
        <v>21628</v>
      </c>
      <c r="G39" s="15">
        <v>604</v>
      </c>
      <c r="H39" s="15">
        <v>3381</v>
      </c>
      <c r="I39" s="15">
        <v>566</v>
      </c>
      <c r="J39" s="17">
        <v>0</v>
      </c>
      <c r="K39" s="17">
        <v>0</v>
      </c>
      <c r="L39" s="15">
        <f t="shared" si="19"/>
        <v>26179</v>
      </c>
      <c r="M39" s="15">
        <f t="shared" si="20"/>
        <v>48838</v>
      </c>
      <c r="N39" s="15">
        <v>22083</v>
      </c>
      <c r="O39" s="15">
        <v>32671</v>
      </c>
      <c r="P39" s="15">
        <f t="shared" si="21"/>
        <v>-10588</v>
      </c>
      <c r="Q39" s="15">
        <f t="shared" si="22"/>
        <v>15591</v>
      </c>
    </row>
    <row r="40" spans="1:17" s="10" customFormat="1" ht="12.75" x14ac:dyDescent="0.2">
      <c r="A40" s="20" t="s">
        <v>88</v>
      </c>
      <c r="B40" s="15">
        <v>4458</v>
      </c>
      <c r="C40" s="15">
        <v>4</v>
      </c>
      <c r="D40" s="15">
        <f>54218-C40-B40</f>
        <v>49756</v>
      </c>
      <c r="E40" s="15">
        <v>22986</v>
      </c>
      <c r="F40" s="15">
        <f t="shared" si="18"/>
        <v>31232</v>
      </c>
      <c r="G40" s="15">
        <v>518</v>
      </c>
      <c r="H40" s="15">
        <v>3607</v>
      </c>
      <c r="I40" s="15">
        <v>610</v>
      </c>
      <c r="J40" s="17">
        <v>0</v>
      </c>
      <c r="K40" s="17">
        <v>0</v>
      </c>
      <c r="L40" s="15">
        <f t="shared" si="19"/>
        <v>35967</v>
      </c>
      <c r="M40" s="15">
        <f t="shared" si="20"/>
        <v>58953</v>
      </c>
      <c r="N40" s="15">
        <v>21590</v>
      </c>
      <c r="O40" s="15">
        <v>32562</v>
      </c>
      <c r="P40" s="15">
        <f t="shared" si="21"/>
        <v>-10972</v>
      </c>
      <c r="Q40" s="15">
        <f t="shared" si="22"/>
        <v>24995</v>
      </c>
    </row>
    <row r="41" spans="1:17" s="10" customFormat="1" ht="12.75" x14ac:dyDescent="0.2">
      <c r="A41" s="20" t="s">
        <v>89</v>
      </c>
      <c r="B41" s="15">
        <v>4334</v>
      </c>
      <c r="C41" s="15">
        <v>137</v>
      </c>
      <c r="D41" s="15">
        <f>57120-C41-B41</f>
        <v>52649</v>
      </c>
      <c r="E41" s="15">
        <v>22937</v>
      </c>
      <c r="F41" s="15">
        <f t="shared" si="18"/>
        <v>34183</v>
      </c>
      <c r="G41" s="15">
        <v>425</v>
      </c>
      <c r="H41" s="15">
        <v>3607</v>
      </c>
      <c r="I41" s="15">
        <v>610</v>
      </c>
      <c r="J41" s="17">
        <v>0</v>
      </c>
      <c r="K41" s="17">
        <v>0</v>
      </c>
      <c r="L41" s="15">
        <f t="shared" si="19"/>
        <v>38825</v>
      </c>
      <c r="M41" s="15">
        <f t="shared" si="20"/>
        <v>61762</v>
      </c>
      <c r="N41" s="15">
        <v>23527</v>
      </c>
      <c r="O41" s="15">
        <v>33531</v>
      </c>
      <c r="P41" s="15">
        <f t="shared" si="21"/>
        <v>-10004</v>
      </c>
      <c r="Q41" s="15">
        <f t="shared" si="22"/>
        <v>28821</v>
      </c>
    </row>
    <row r="42" spans="1:17" s="10" customFormat="1" ht="12.75" x14ac:dyDescent="0.2">
      <c r="A42" s="20" t="s">
        <v>79</v>
      </c>
      <c r="B42" s="15">
        <v>4464</v>
      </c>
      <c r="C42" s="15">
        <v>134</v>
      </c>
      <c r="D42" s="15">
        <f>57488-C42-B42</f>
        <v>52890</v>
      </c>
      <c r="E42" s="15">
        <v>23080</v>
      </c>
      <c r="F42" s="15">
        <f t="shared" si="18"/>
        <v>34408</v>
      </c>
      <c r="G42" s="15">
        <v>239</v>
      </c>
      <c r="H42" s="15">
        <v>3607</v>
      </c>
      <c r="I42" s="15">
        <v>610</v>
      </c>
      <c r="J42" s="17">
        <v>0</v>
      </c>
      <c r="K42" s="17">
        <v>0</v>
      </c>
      <c r="L42" s="15">
        <f t="shared" si="19"/>
        <v>38864</v>
      </c>
      <c r="M42" s="15">
        <f t="shared" si="20"/>
        <v>61944</v>
      </c>
      <c r="N42" s="15">
        <v>18780</v>
      </c>
      <c r="O42" s="15">
        <v>29484</v>
      </c>
      <c r="P42" s="15">
        <f t="shared" si="21"/>
        <v>-10704</v>
      </c>
      <c r="Q42" s="15">
        <f t="shared" si="22"/>
        <v>28160</v>
      </c>
    </row>
    <row r="43" spans="1:17" s="10" customFormat="1" ht="12.75" x14ac:dyDescent="0.2">
      <c r="A43" s="20" t="s">
        <v>90</v>
      </c>
      <c r="B43" s="15">
        <v>4564</v>
      </c>
      <c r="C43" s="15">
        <v>137</v>
      </c>
      <c r="D43" s="15">
        <f>62748-C43-B43</f>
        <v>58047</v>
      </c>
      <c r="E43" s="15">
        <v>23761</v>
      </c>
      <c r="F43" s="15">
        <f t="shared" si="18"/>
        <v>38987</v>
      </c>
      <c r="G43" s="15">
        <v>134</v>
      </c>
      <c r="H43" s="15">
        <v>3071</v>
      </c>
      <c r="I43" s="15">
        <v>576</v>
      </c>
      <c r="J43" s="17">
        <v>0</v>
      </c>
      <c r="K43" s="17">
        <v>0</v>
      </c>
      <c r="L43" s="15">
        <f t="shared" si="19"/>
        <v>42768</v>
      </c>
      <c r="M43" s="15">
        <f t="shared" si="20"/>
        <v>66529</v>
      </c>
      <c r="N43" s="15">
        <v>17885</v>
      </c>
      <c r="O43" s="15">
        <v>29052</v>
      </c>
      <c r="P43" s="15">
        <f t="shared" si="21"/>
        <v>-11167</v>
      </c>
      <c r="Q43" s="15">
        <f t="shared" si="22"/>
        <v>31601</v>
      </c>
    </row>
    <row r="44" spans="1:17" s="10" customFormat="1" ht="12.75" x14ac:dyDescent="0.2">
      <c r="A44" s="20" t="s">
        <v>91</v>
      </c>
      <c r="B44" s="15">
        <v>4576</v>
      </c>
      <c r="C44" s="15">
        <v>98</v>
      </c>
      <c r="D44" s="15">
        <f>58005-C44-B44</f>
        <v>53331</v>
      </c>
      <c r="E44" s="15">
        <v>23607</v>
      </c>
      <c r="F44" s="15">
        <f t="shared" si="18"/>
        <v>34398</v>
      </c>
      <c r="G44" s="15">
        <v>32</v>
      </c>
      <c r="H44" s="15">
        <v>3071</v>
      </c>
      <c r="I44" s="15">
        <v>576</v>
      </c>
      <c r="J44" s="17">
        <v>0</v>
      </c>
      <c r="K44" s="17">
        <v>0</v>
      </c>
      <c r="L44" s="15">
        <f t="shared" si="19"/>
        <v>38077</v>
      </c>
      <c r="M44" s="15">
        <f t="shared" si="20"/>
        <v>61684</v>
      </c>
      <c r="N44" s="15">
        <v>17829</v>
      </c>
      <c r="O44" s="15">
        <v>28504</v>
      </c>
      <c r="P44" s="15">
        <f t="shared" si="21"/>
        <v>-10675</v>
      </c>
      <c r="Q44" s="15">
        <f t="shared" si="22"/>
        <v>27402</v>
      </c>
    </row>
    <row r="45" spans="1:17" s="10" customFormat="1" ht="12.75" x14ac:dyDescent="0.2">
      <c r="A45" s="20" t="s">
        <v>80</v>
      </c>
      <c r="B45" s="15">
        <v>4600</v>
      </c>
      <c r="C45" s="15">
        <v>98</v>
      </c>
      <c r="D45" s="15">
        <f>54496-C45-B45</f>
        <v>49798</v>
      </c>
      <c r="E45" s="15">
        <v>23712</v>
      </c>
      <c r="F45" s="15">
        <f t="shared" si="18"/>
        <v>30784</v>
      </c>
      <c r="G45" s="15">
        <v>9</v>
      </c>
      <c r="H45" s="15">
        <v>3071</v>
      </c>
      <c r="I45" s="15">
        <v>576</v>
      </c>
      <c r="J45" s="17">
        <v>0</v>
      </c>
      <c r="K45" s="17">
        <v>0</v>
      </c>
      <c r="L45" s="15">
        <f t="shared" si="19"/>
        <v>34440</v>
      </c>
      <c r="M45" s="15">
        <f t="shared" si="20"/>
        <v>58152</v>
      </c>
      <c r="N45" s="15">
        <v>17612</v>
      </c>
      <c r="O45" s="15">
        <v>26739</v>
      </c>
      <c r="P45" s="15">
        <f t="shared" si="21"/>
        <v>-9127</v>
      </c>
      <c r="Q45" s="15">
        <f t="shared" si="22"/>
        <v>25313</v>
      </c>
    </row>
    <row r="46" spans="1:17" s="10" customFormat="1" ht="12.75" x14ac:dyDescent="0.2">
      <c r="A46" s="20" t="s">
        <v>92</v>
      </c>
      <c r="B46" s="15">
        <v>4552</v>
      </c>
      <c r="C46" s="15">
        <v>961</v>
      </c>
      <c r="D46" s="15">
        <f>48984-C46-B46</f>
        <v>43471</v>
      </c>
      <c r="E46" s="15">
        <v>23124</v>
      </c>
      <c r="F46" s="15">
        <f t="shared" si="18"/>
        <v>25860</v>
      </c>
      <c r="G46" s="15">
        <v>44</v>
      </c>
      <c r="H46" s="15">
        <v>2953</v>
      </c>
      <c r="I46" s="15">
        <v>521</v>
      </c>
      <c r="J46" s="17">
        <v>0</v>
      </c>
      <c r="K46" s="17">
        <v>0</v>
      </c>
      <c r="L46" s="15">
        <f t="shared" si="19"/>
        <v>29378</v>
      </c>
      <c r="M46" s="15">
        <f t="shared" si="20"/>
        <v>52502</v>
      </c>
      <c r="N46" s="15">
        <v>17839</v>
      </c>
      <c r="O46" s="15">
        <v>24731</v>
      </c>
      <c r="P46" s="15">
        <f t="shared" si="21"/>
        <v>-6892</v>
      </c>
      <c r="Q46" s="15">
        <f t="shared" si="22"/>
        <v>22486</v>
      </c>
    </row>
    <row r="47" spans="1:17" s="10" customFormat="1" ht="12.75" x14ac:dyDescent="0.2">
      <c r="A47" s="20" t="s">
        <v>93</v>
      </c>
      <c r="B47" s="15">
        <v>4588</v>
      </c>
      <c r="C47" s="15">
        <v>397</v>
      </c>
      <c r="D47" s="15">
        <f>45994-C47-B47</f>
        <v>41009</v>
      </c>
      <c r="E47" s="15">
        <v>23659</v>
      </c>
      <c r="F47" s="15">
        <f t="shared" si="18"/>
        <v>22335</v>
      </c>
      <c r="G47" s="15">
        <v>7</v>
      </c>
      <c r="H47" s="15">
        <v>2953</v>
      </c>
      <c r="I47" s="15">
        <v>521</v>
      </c>
      <c r="J47" s="17">
        <v>0</v>
      </c>
      <c r="K47" s="17">
        <v>0</v>
      </c>
      <c r="L47" s="15">
        <f t="shared" si="19"/>
        <v>25816</v>
      </c>
      <c r="M47" s="15">
        <f t="shared" si="20"/>
        <v>49475</v>
      </c>
      <c r="N47" s="15">
        <v>14718</v>
      </c>
      <c r="O47" s="15">
        <v>22310</v>
      </c>
      <c r="P47" s="15">
        <f t="shared" si="21"/>
        <v>-7592</v>
      </c>
      <c r="Q47" s="15">
        <f t="shared" si="22"/>
        <v>18224</v>
      </c>
    </row>
    <row r="48" spans="1:17" s="10" customFormat="1" ht="12.75" x14ac:dyDescent="0.2">
      <c r="A48" s="20" t="s">
        <v>81</v>
      </c>
      <c r="B48" s="15">
        <v>4637</v>
      </c>
      <c r="C48" s="15">
        <v>401</v>
      </c>
      <c r="D48" s="15">
        <f>53193-C48-B48</f>
        <v>48155</v>
      </c>
      <c r="E48" s="15">
        <v>24144</v>
      </c>
      <c r="F48" s="15">
        <f t="shared" si="18"/>
        <v>29049</v>
      </c>
      <c r="G48" s="15">
        <v>578</v>
      </c>
      <c r="H48" s="15">
        <v>2953</v>
      </c>
      <c r="I48" s="15">
        <v>521</v>
      </c>
      <c r="J48" s="17">
        <v>0</v>
      </c>
      <c r="K48" s="17">
        <v>0</v>
      </c>
      <c r="L48" s="15">
        <f t="shared" si="19"/>
        <v>33101</v>
      </c>
      <c r="M48" s="15">
        <f t="shared" si="20"/>
        <v>57245</v>
      </c>
      <c r="N48" s="15">
        <v>16836</v>
      </c>
      <c r="O48" s="15">
        <v>23378</v>
      </c>
      <c r="P48" s="15">
        <f t="shared" si="21"/>
        <v>-6542</v>
      </c>
      <c r="Q48" s="15">
        <f t="shared" si="22"/>
        <v>26559</v>
      </c>
    </row>
    <row r="49" spans="1:17" s="10" customFormat="1" ht="15.75" customHeight="1" x14ac:dyDescent="0.2">
      <c r="A49" s="13" t="s">
        <v>33</v>
      </c>
      <c r="B49" s="15"/>
      <c r="C49" s="15"/>
      <c r="D49" s="15"/>
      <c r="E49" s="15"/>
      <c r="F49" s="15"/>
      <c r="G49" s="15"/>
      <c r="H49" s="15"/>
      <c r="I49" s="15"/>
      <c r="J49" s="15"/>
      <c r="K49" s="15"/>
      <c r="L49" s="15"/>
      <c r="M49" s="15"/>
      <c r="N49" s="15"/>
      <c r="O49" s="15"/>
      <c r="P49" s="15"/>
      <c r="Q49" s="15"/>
    </row>
    <row r="50" spans="1:17" s="10" customFormat="1" ht="12.75" x14ac:dyDescent="0.2">
      <c r="A50" s="20" t="s">
        <v>86</v>
      </c>
      <c r="B50" s="15">
        <v>4806</v>
      </c>
      <c r="C50" s="15">
        <v>433</v>
      </c>
      <c r="D50" s="15">
        <f>61396-C50-B50</f>
        <v>56157</v>
      </c>
      <c r="E50" s="15">
        <v>25134</v>
      </c>
      <c r="F50" s="15">
        <f t="shared" ref="F50:F61" si="23">B50+C50+D50-E50</f>
        <v>36262</v>
      </c>
      <c r="G50" s="15">
        <v>887</v>
      </c>
      <c r="H50" s="15">
        <v>3575</v>
      </c>
      <c r="I50" s="15">
        <v>688</v>
      </c>
      <c r="J50" s="17">
        <v>0</v>
      </c>
      <c r="K50" s="17">
        <v>0</v>
      </c>
      <c r="L50" s="15">
        <f t="shared" ref="L50:L61" si="24">F50+G50+H50+I50+J50+K50</f>
        <v>41412</v>
      </c>
      <c r="M50" s="15">
        <f t="shared" si="20"/>
        <v>66546</v>
      </c>
      <c r="N50" s="15">
        <v>10930</v>
      </c>
      <c r="O50" s="15">
        <v>23218</v>
      </c>
      <c r="P50" s="15">
        <f t="shared" ref="P50:P61" si="25">N50-O50</f>
        <v>-12288</v>
      </c>
      <c r="Q50" s="15">
        <f t="shared" ref="Q50:Q61" si="26">L50+P50</f>
        <v>29124</v>
      </c>
    </row>
    <row r="51" spans="1:17" s="10" customFormat="1" ht="12.75" x14ac:dyDescent="0.2">
      <c r="A51" s="20" t="s">
        <v>87</v>
      </c>
      <c r="B51" s="15">
        <v>4785</v>
      </c>
      <c r="C51" s="15">
        <v>59</v>
      </c>
      <c r="D51" s="15">
        <f>62966-C51-B51</f>
        <v>58122</v>
      </c>
      <c r="E51" s="15">
        <v>24463</v>
      </c>
      <c r="F51" s="15">
        <f t="shared" si="23"/>
        <v>38503</v>
      </c>
      <c r="G51" s="15">
        <v>887</v>
      </c>
      <c r="H51" s="15">
        <v>3575</v>
      </c>
      <c r="I51" s="15">
        <v>688</v>
      </c>
      <c r="J51" s="17">
        <v>0</v>
      </c>
      <c r="K51" s="17">
        <v>0</v>
      </c>
      <c r="L51" s="15">
        <f t="shared" si="24"/>
        <v>43653</v>
      </c>
      <c r="M51" s="15">
        <f t="shared" si="20"/>
        <v>68116</v>
      </c>
      <c r="N51" s="15">
        <v>9399</v>
      </c>
      <c r="O51" s="15">
        <v>20456</v>
      </c>
      <c r="P51" s="15">
        <f t="shared" si="25"/>
        <v>-11057</v>
      </c>
      <c r="Q51" s="15">
        <f t="shared" si="26"/>
        <v>32596</v>
      </c>
    </row>
    <row r="52" spans="1:17" s="10" customFormat="1" ht="12.75" x14ac:dyDescent="0.2">
      <c r="A52" s="20" t="s">
        <v>78</v>
      </c>
      <c r="B52" s="15">
        <v>4866</v>
      </c>
      <c r="C52" s="15">
        <v>60</v>
      </c>
      <c r="D52" s="15">
        <f>68801-C52-B52</f>
        <v>63875</v>
      </c>
      <c r="E52" s="15">
        <v>24442</v>
      </c>
      <c r="F52" s="15">
        <f t="shared" si="23"/>
        <v>44359</v>
      </c>
      <c r="G52" s="15">
        <v>887</v>
      </c>
      <c r="H52" s="15">
        <v>3575</v>
      </c>
      <c r="I52" s="15">
        <v>688</v>
      </c>
      <c r="J52" s="17">
        <v>0</v>
      </c>
      <c r="K52" s="17">
        <v>0</v>
      </c>
      <c r="L52" s="15">
        <f t="shared" si="24"/>
        <v>49509</v>
      </c>
      <c r="M52" s="15">
        <f t="shared" si="20"/>
        <v>73951</v>
      </c>
      <c r="N52" s="15">
        <v>11375</v>
      </c>
      <c r="O52" s="15">
        <v>20505</v>
      </c>
      <c r="P52" s="15">
        <f t="shared" si="25"/>
        <v>-9130</v>
      </c>
      <c r="Q52" s="15">
        <f t="shared" si="26"/>
        <v>40379</v>
      </c>
    </row>
    <row r="53" spans="1:17" s="10" customFormat="1" ht="12.75" x14ac:dyDescent="0.2">
      <c r="A53" s="20" t="s">
        <v>88</v>
      </c>
      <c r="B53" s="15">
        <v>4944</v>
      </c>
      <c r="C53" s="15">
        <v>413</v>
      </c>
      <c r="D53" s="15">
        <f>79730-C53-B53</f>
        <v>74373</v>
      </c>
      <c r="E53" s="15">
        <v>24923</v>
      </c>
      <c r="F53" s="15">
        <f t="shared" si="23"/>
        <v>54807</v>
      </c>
      <c r="G53" s="15">
        <v>964</v>
      </c>
      <c r="H53" s="15">
        <v>2885</v>
      </c>
      <c r="I53" s="15">
        <v>719</v>
      </c>
      <c r="J53" s="17">
        <v>0</v>
      </c>
      <c r="K53" s="17">
        <v>0</v>
      </c>
      <c r="L53" s="15">
        <f t="shared" si="24"/>
        <v>59375</v>
      </c>
      <c r="M53" s="15">
        <f t="shared" si="20"/>
        <v>84298</v>
      </c>
      <c r="N53" s="15">
        <v>8875</v>
      </c>
      <c r="O53" s="15">
        <v>19581</v>
      </c>
      <c r="P53" s="15">
        <f t="shared" si="25"/>
        <v>-10706</v>
      </c>
      <c r="Q53" s="15">
        <f t="shared" si="26"/>
        <v>48669</v>
      </c>
    </row>
    <row r="54" spans="1:17" s="10" customFormat="1" ht="12.75" x14ac:dyDescent="0.2">
      <c r="A54" s="20" t="s">
        <v>89</v>
      </c>
      <c r="B54" s="15">
        <v>4870</v>
      </c>
      <c r="C54" s="15">
        <v>26</v>
      </c>
      <c r="D54" s="15">
        <f>81748-C54-B54</f>
        <v>76852</v>
      </c>
      <c r="E54" s="15">
        <v>24704</v>
      </c>
      <c r="F54" s="15">
        <f t="shared" si="23"/>
        <v>57044</v>
      </c>
      <c r="G54" s="15">
        <v>964</v>
      </c>
      <c r="H54" s="15">
        <v>2885</v>
      </c>
      <c r="I54" s="15">
        <v>719</v>
      </c>
      <c r="J54" s="17">
        <v>0</v>
      </c>
      <c r="K54" s="17">
        <v>0</v>
      </c>
      <c r="L54" s="15">
        <f t="shared" si="24"/>
        <v>61612</v>
      </c>
      <c r="M54" s="15">
        <f t="shared" si="20"/>
        <v>86316</v>
      </c>
      <c r="N54" s="15">
        <v>11222</v>
      </c>
      <c r="O54" s="15">
        <v>19387</v>
      </c>
      <c r="P54" s="15">
        <f t="shared" si="25"/>
        <v>-8165</v>
      </c>
      <c r="Q54" s="15">
        <f t="shared" si="26"/>
        <v>53447</v>
      </c>
    </row>
    <row r="55" spans="1:17" s="10" customFormat="1" ht="12.75" x14ac:dyDescent="0.2">
      <c r="A55" s="20" t="s">
        <v>79</v>
      </c>
      <c r="B55" s="15">
        <v>4838</v>
      </c>
      <c r="C55" s="15">
        <v>60</v>
      </c>
      <c r="D55" s="15">
        <f>80329-C55-B55</f>
        <v>75431</v>
      </c>
      <c r="E55" s="15">
        <v>23195</v>
      </c>
      <c r="F55" s="15">
        <f t="shared" si="23"/>
        <v>57134</v>
      </c>
      <c r="G55" s="15">
        <v>964</v>
      </c>
      <c r="H55" s="15">
        <v>2885</v>
      </c>
      <c r="I55" s="15">
        <v>719</v>
      </c>
      <c r="J55" s="17">
        <v>0</v>
      </c>
      <c r="K55" s="17">
        <v>0</v>
      </c>
      <c r="L55" s="15">
        <f t="shared" si="24"/>
        <v>61702</v>
      </c>
      <c r="M55" s="15">
        <f t="shared" si="20"/>
        <v>84897</v>
      </c>
      <c r="N55" s="15">
        <v>12716</v>
      </c>
      <c r="O55" s="15">
        <v>17883</v>
      </c>
      <c r="P55" s="15">
        <f t="shared" si="25"/>
        <v>-5167</v>
      </c>
      <c r="Q55" s="15">
        <f t="shared" si="26"/>
        <v>56535</v>
      </c>
    </row>
    <row r="56" spans="1:17" s="10" customFormat="1" ht="12.75" x14ac:dyDescent="0.2">
      <c r="A56" s="20" t="s">
        <v>90</v>
      </c>
      <c r="B56" s="15">
        <v>4797</v>
      </c>
      <c r="C56" s="15">
        <v>377</v>
      </c>
      <c r="D56" s="15">
        <f>82322-C56-B56</f>
        <v>77148</v>
      </c>
      <c r="E56" s="15">
        <v>23333</v>
      </c>
      <c r="F56" s="15">
        <f t="shared" si="23"/>
        <v>58989</v>
      </c>
      <c r="G56" s="15">
        <v>882</v>
      </c>
      <c r="H56" s="15">
        <v>3077</v>
      </c>
      <c r="I56" s="15">
        <v>716</v>
      </c>
      <c r="J56" s="17">
        <v>0</v>
      </c>
      <c r="K56" s="17">
        <v>0</v>
      </c>
      <c r="L56" s="15">
        <f t="shared" si="24"/>
        <v>63664</v>
      </c>
      <c r="M56" s="15">
        <f t="shared" si="20"/>
        <v>86997</v>
      </c>
      <c r="N56" s="15">
        <v>14522</v>
      </c>
      <c r="O56" s="15">
        <v>18994</v>
      </c>
      <c r="P56" s="15">
        <f t="shared" si="25"/>
        <v>-4472</v>
      </c>
      <c r="Q56" s="15">
        <f t="shared" si="26"/>
        <v>59192</v>
      </c>
    </row>
    <row r="57" spans="1:17" s="10" customFormat="1" ht="12.75" x14ac:dyDescent="0.2">
      <c r="A57" s="20" t="s">
        <v>91</v>
      </c>
      <c r="B57" s="15">
        <v>4895</v>
      </c>
      <c r="C57" s="15">
        <v>84</v>
      </c>
      <c r="D57" s="15">
        <f>77193-C57-B57</f>
        <v>72214</v>
      </c>
      <c r="E57" s="15">
        <v>23822</v>
      </c>
      <c r="F57" s="15">
        <f t="shared" si="23"/>
        <v>53371</v>
      </c>
      <c r="G57" s="15">
        <v>1209</v>
      </c>
      <c r="H57" s="15">
        <v>3077</v>
      </c>
      <c r="I57" s="15">
        <v>716</v>
      </c>
      <c r="J57" s="17">
        <v>0</v>
      </c>
      <c r="K57" s="17">
        <v>0</v>
      </c>
      <c r="L57" s="15">
        <f t="shared" si="24"/>
        <v>58373</v>
      </c>
      <c r="M57" s="15">
        <f t="shared" si="20"/>
        <v>82195</v>
      </c>
      <c r="N57" s="15">
        <v>14752</v>
      </c>
      <c r="O57" s="15">
        <v>19505</v>
      </c>
      <c r="P57" s="15">
        <f t="shared" si="25"/>
        <v>-4753</v>
      </c>
      <c r="Q57" s="15">
        <f t="shared" si="26"/>
        <v>53620</v>
      </c>
    </row>
    <row r="58" spans="1:17" s="10" customFormat="1" ht="12.75" x14ac:dyDescent="0.2">
      <c r="A58" s="20" t="s">
        <v>80</v>
      </c>
      <c r="B58" s="15">
        <v>4844</v>
      </c>
      <c r="C58" s="15">
        <v>83</v>
      </c>
      <c r="D58" s="15">
        <f>75611-C58-B58</f>
        <v>70684</v>
      </c>
      <c r="E58" s="15">
        <v>22361</v>
      </c>
      <c r="F58" s="15">
        <f t="shared" si="23"/>
        <v>53250</v>
      </c>
      <c r="G58" s="15">
        <v>1401</v>
      </c>
      <c r="H58" s="15">
        <v>3077</v>
      </c>
      <c r="I58" s="15">
        <v>716</v>
      </c>
      <c r="J58" s="17">
        <v>0</v>
      </c>
      <c r="K58" s="17">
        <v>0</v>
      </c>
      <c r="L58" s="15">
        <f t="shared" si="24"/>
        <v>58444</v>
      </c>
      <c r="M58" s="15">
        <f t="shared" si="20"/>
        <v>80805</v>
      </c>
      <c r="N58" s="15">
        <v>16673</v>
      </c>
      <c r="O58" s="15">
        <v>14883</v>
      </c>
      <c r="P58" s="15">
        <f t="shared" si="25"/>
        <v>1790</v>
      </c>
      <c r="Q58" s="15">
        <f t="shared" si="26"/>
        <v>60234</v>
      </c>
    </row>
    <row r="59" spans="1:17" s="10" customFormat="1" ht="12.75" x14ac:dyDescent="0.2">
      <c r="A59" s="20" t="s">
        <v>92</v>
      </c>
      <c r="B59" s="15">
        <v>5001</v>
      </c>
      <c r="C59" s="15">
        <v>482</v>
      </c>
      <c r="D59" s="15">
        <f>73453-C59-B59</f>
        <v>67970</v>
      </c>
      <c r="E59" s="15">
        <v>21886</v>
      </c>
      <c r="F59" s="15">
        <f t="shared" si="23"/>
        <v>51567</v>
      </c>
      <c r="G59" s="15">
        <v>1078</v>
      </c>
      <c r="H59" s="15">
        <v>3922</v>
      </c>
      <c r="I59" s="15">
        <v>787</v>
      </c>
      <c r="J59" s="17">
        <v>0</v>
      </c>
      <c r="K59" s="17">
        <v>0</v>
      </c>
      <c r="L59" s="15">
        <f t="shared" si="24"/>
        <v>57354</v>
      </c>
      <c r="M59" s="15">
        <f t="shared" si="20"/>
        <v>79240</v>
      </c>
      <c r="N59" s="15">
        <v>15743</v>
      </c>
      <c r="O59" s="15">
        <v>15594</v>
      </c>
      <c r="P59" s="15">
        <f t="shared" si="25"/>
        <v>149</v>
      </c>
      <c r="Q59" s="15">
        <f t="shared" si="26"/>
        <v>57503</v>
      </c>
    </row>
    <row r="60" spans="1:17" s="10" customFormat="1" ht="12.75" x14ac:dyDescent="0.2">
      <c r="A60" s="20" t="s">
        <v>93</v>
      </c>
      <c r="B60" s="15">
        <v>5200</v>
      </c>
      <c r="C60" s="15">
        <v>166</v>
      </c>
      <c r="D60" s="15">
        <f>69436-C60-B60</f>
        <v>64070</v>
      </c>
      <c r="E60" s="15">
        <v>22528</v>
      </c>
      <c r="F60" s="15">
        <f t="shared" si="23"/>
        <v>46908</v>
      </c>
      <c r="G60" s="15">
        <v>283</v>
      </c>
      <c r="H60" s="15">
        <v>3922</v>
      </c>
      <c r="I60" s="15">
        <v>787</v>
      </c>
      <c r="J60" s="17">
        <v>0</v>
      </c>
      <c r="K60" s="17">
        <v>0</v>
      </c>
      <c r="L60" s="15">
        <f t="shared" si="24"/>
        <v>51900</v>
      </c>
      <c r="M60" s="15">
        <f t="shared" si="20"/>
        <v>74428</v>
      </c>
      <c r="N60" s="15">
        <v>16297</v>
      </c>
      <c r="O60" s="15">
        <v>13878</v>
      </c>
      <c r="P60" s="15">
        <f t="shared" si="25"/>
        <v>2419</v>
      </c>
      <c r="Q60" s="15">
        <f t="shared" si="26"/>
        <v>54319</v>
      </c>
    </row>
    <row r="61" spans="1:17" s="10" customFormat="1" ht="12.75" x14ac:dyDescent="0.2">
      <c r="A61" s="20" t="s">
        <v>81</v>
      </c>
      <c r="B61" s="15">
        <v>5370</v>
      </c>
      <c r="C61" s="15">
        <v>172</v>
      </c>
      <c r="D61" s="15">
        <f>72792-C61-B61</f>
        <v>67250</v>
      </c>
      <c r="E61" s="15">
        <v>24111</v>
      </c>
      <c r="F61" s="15">
        <f t="shared" si="23"/>
        <v>48681</v>
      </c>
      <c r="G61" s="15">
        <v>320</v>
      </c>
      <c r="H61" s="15">
        <v>3922</v>
      </c>
      <c r="I61" s="15">
        <v>787</v>
      </c>
      <c r="J61" s="17">
        <v>0</v>
      </c>
      <c r="K61" s="17">
        <v>0</v>
      </c>
      <c r="L61" s="15">
        <f t="shared" si="24"/>
        <v>53710</v>
      </c>
      <c r="M61" s="15">
        <f t="shared" si="20"/>
        <v>77821</v>
      </c>
      <c r="N61" s="15">
        <v>16022</v>
      </c>
      <c r="O61" s="15">
        <v>19853</v>
      </c>
      <c r="P61" s="15">
        <f t="shared" si="25"/>
        <v>-3831</v>
      </c>
      <c r="Q61" s="15">
        <f t="shared" si="26"/>
        <v>49879</v>
      </c>
    </row>
    <row r="62" spans="1:17" s="10" customFormat="1" ht="12.75" x14ac:dyDescent="0.2">
      <c r="A62" s="13" t="s">
        <v>34</v>
      </c>
      <c r="B62" s="14"/>
      <c r="C62" s="14"/>
      <c r="D62" s="14"/>
      <c r="E62" s="14"/>
      <c r="F62" s="14"/>
      <c r="G62" s="14"/>
      <c r="H62" s="14"/>
      <c r="I62" s="14"/>
      <c r="J62" s="14"/>
      <c r="K62" s="14"/>
      <c r="L62" s="14"/>
      <c r="M62" s="14"/>
      <c r="N62" s="14"/>
      <c r="O62" s="14"/>
      <c r="P62" s="14" t="s">
        <v>23</v>
      </c>
      <c r="Q62" s="14"/>
    </row>
    <row r="63" spans="1:17" s="10" customFormat="1" ht="12.75" x14ac:dyDescent="0.2">
      <c r="A63" s="20" t="s">
        <v>86</v>
      </c>
      <c r="B63" s="15">
        <v>5172</v>
      </c>
      <c r="C63" s="15">
        <v>385</v>
      </c>
      <c r="D63" s="15">
        <f>72790-C63-B63</f>
        <v>67233</v>
      </c>
      <c r="E63" s="15">
        <v>22782</v>
      </c>
      <c r="F63" s="15">
        <f t="shared" ref="F63:F74" si="27">B63+C63+D63-E63</f>
        <v>50008</v>
      </c>
      <c r="G63" s="15">
        <v>279</v>
      </c>
      <c r="H63" s="15">
        <v>3922</v>
      </c>
      <c r="I63" s="15">
        <v>787</v>
      </c>
      <c r="J63" s="17">
        <v>0</v>
      </c>
      <c r="K63" s="17">
        <v>0</v>
      </c>
      <c r="L63" s="15">
        <f t="shared" ref="L63:L74" si="28">SUM(F63:K63)</f>
        <v>54996</v>
      </c>
      <c r="M63" s="15">
        <f>B63+C63+D63+G63+H63+I63+J63+K63</f>
        <v>77778</v>
      </c>
      <c r="N63" s="15">
        <v>15851</v>
      </c>
      <c r="O63" s="15">
        <v>18798</v>
      </c>
      <c r="P63" s="15">
        <f t="shared" ref="P63:P74" si="29">N63-O63</f>
        <v>-2947</v>
      </c>
      <c r="Q63" s="15">
        <f t="shared" ref="Q63:Q74" si="30">L63+P63</f>
        <v>52049</v>
      </c>
    </row>
    <row r="64" spans="1:17" s="10" customFormat="1" ht="12.75" x14ac:dyDescent="0.2">
      <c r="A64" s="20" t="s">
        <v>87</v>
      </c>
      <c r="B64" s="15">
        <v>5152</v>
      </c>
      <c r="C64" s="15">
        <v>62</v>
      </c>
      <c r="D64" s="15">
        <f>75280-C64-B64</f>
        <v>70066</v>
      </c>
      <c r="E64" s="15">
        <v>22238</v>
      </c>
      <c r="F64" s="15">
        <f t="shared" si="27"/>
        <v>53042</v>
      </c>
      <c r="G64" s="15">
        <v>279</v>
      </c>
      <c r="H64" s="15">
        <v>3922</v>
      </c>
      <c r="I64" s="15">
        <v>787</v>
      </c>
      <c r="J64" s="17">
        <v>0</v>
      </c>
      <c r="K64" s="17">
        <v>0</v>
      </c>
      <c r="L64" s="15">
        <f t="shared" si="28"/>
        <v>58030</v>
      </c>
      <c r="M64" s="15">
        <f t="shared" ref="M64:M113" si="31">B64+C64+D64+G64+H64+I64+J64+K64</f>
        <v>80268</v>
      </c>
      <c r="N64" s="15">
        <v>17526</v>
      </c>
      <c r="O64" s="15">
        <v>19359</v>
      </c>
      <c r="P64" s="15">
        <f t="shared" si="29"/>
        <v>-1833</v>
      </c>
      <c r="Q64" s="15">
        <f t="shared" si="30"/>
        <v>56197</v>
      </c>
    </row>
    <row r="65" spans="1:17" s="10" customFormat="1" ht="12.75" x14ac:dyDescent="0.2">
      <c r="A65" s="20" t="s">
        <v>78</v>
      </c>
      <c r="B65" s="15">
        <v>5152</v>
      </c>
      <c r="C65" s="15">
        <v>65</v>
      </c>
      <c r="D65" s="15">
        <f>80314-C65-B65</f>
        <v>75097</v>
      </c>
      <c r="E65" s="15">
        <v>18763</v>
      </c>
      <c r="F65" s="15">
        <f t="shared" si="27"/>
        <v>61551</v>
      </c>
      <c r="G65" s="15">
        <v>279</v>
      </c>
      <c r="H65" s="15">
        <v>3922</v>
      </c>
      <c r="I65" s="15">
        <v>787</v>
      </c>
      <c r="J65" s="17">
        <v>0</v>
      </c>
      <c r="K65" s="17">
        <v>0</v>
      </c>
      <c r="L65" s="15">
        <f t="shared" si="28"/>
        <v>66539</v>
      </c>
      <c r="M65" s="15">
        <f t="shared" si="31"/>
        <v>85302</v>
      </c>
      <c r="N65" s="15">
        <v>18331</v>
      </c>
      <c r="O65" s="15">
        <v>24352</v>
      </c>
      <c r="P65" s="15">
        <f t="shared" si="29"/>
        <v>-6021</v>
      </c>
      <c r="Q65" s="15">
        <f t="shared" si="30"/>
        <v>60518</v>
      </c>
    </row>
    <row r="66" spans="1:17" s="10" customFormat="1" ht="12.75" x14ac:dyDescent="0.2">
      <c r="A66" s="20" t="s">
        <v>88</v>
      </c>
      <c r="B66" s="15">
        <v>5251</v>
      </c>
      <c r="C66" s="15">
        <v>352</v>
      </c>
      <c r="D66" s="15">
        <f>108887-C66-B66</f>
        <v>103284</v>
      </c>
      <c r="E66" s="15">
        <v>20929</v>
      </c>
      <c r="F66" s="15">
        <f t="shared" si="27"/>
        <v>87958</v>
      </c>
      <c r="G66" s="15">
        <v>1248</v>
      </c>
      <c r="H66" s="15">
        <v>3922</v>
      </c>
      <c r="I66" s="15">
        <v>787</v>
      </c>
      <c r="J66" s="17">
        <v>0</v>
      </c>
      <c r="K66" s="17">
        <v>0</v>
      </c>
      <c r="L66" s="15">
        <f t="shared" si="28"/>
        <v>93915</v>
      </c>
      <c r="M66" s="15">
        <f t="shared" si="31"/>
        <v>114844</v>
      </c>
      <c r="N66" s="15">
        <v>13213</v>
      </c>
      <c r="O66" s="15">
        <v>22218</v>
      </c>
      <c r="P66" s="15">
        <f t="shared" si="29"/>
        <v>-9005</v>
      </c>
      <c r="Q66" s="15">
        <f t="shared" si="30"/>
        <v>84910</v>
      </c>
    </row>
    <row r="67" spans="1:17" s="10" customFormat="1" ht="12.75" x14ac:dyDescent="0.2">
      <c r="A67" s="20" t="s">
        <v>89</v>
      </c>
      <c r="B67" s="15">
        <v>5166</v>
      </c>
      <c r="C67" s="15">
        <v>106</v>
      </c>
      <c r="D67" s="15">
        <f>106514-C67-B67</f>
        <v>101242</v>
      </c>
      <c r="E67" s="15">
        <v>19458</v>
      </c>
      <c r="F67" s="15">
        <f t="shared" si="27"/>
        <v>87056</v>
      </c>
      <c r="G67" s="15">
        <v>534</v>
      </c>
      <c r="H67" s="15">
        <v>3922</v>
      </c>
      <c r="I67" s="15">
        <v>787</v>
      </c>
      <c r="J67" s="17">
        <v>0</v>
      </c>
      <c r="K67" s="17">
        <v>0</v>
      </c>
      <c r="L67" s="15">
        <f t="shared" si="28"/>
        <v>92299</v>
      </c>
      <c r="M67" s="15">
        <f t="shared" si="31"/>
        <v>111757</v>
      </c>
      <c r="N67" s="15">
        <v>11778</v>
      </c>
      <c r="O67" s="15">
        <v>23505</v>
      </c>
      <c r="P67" s="15">
        <f t="shared" si="29"/>
        <v>-11727</v>
      </c>
      <c r="Q67" s="15">
        <f t="shared" si="30"/>
        <v>80572</v>
      </c>
    </row>
    <row r="68" spans="1:17" s="10" customFormat="1" ht="12.75" x14ac:dyDescent="0.2">
      <c r="A68" s="20" t="s">
        <v>79</v>
      </c>
      <c r="B68" s="15">
        <v>4961</v>
      </c>
      <c r="C68" s="15">
        <v>122</v>
      </c>
      <c r="D68" s="15">
        <f>114259-C68-B68</f>
        <v>109176</v>
      </c>
      <c r="E68" s="15">
        <v>17701</v>
      </c>
      <c r="F68" s="15">
        <f t="shared" si="27"/>
        <v>96558</v>
      </c>
      <c r="G68" s="15">
        <v>190</v>
      </c>
      <c r="H68" s="15">
        <v>3013</v>
      </c>
      <c r="I68" s="15">
        <v>1101</v>
      </c>
      <c r="J68" s="17">
        <v>0</v>
      </c>
      <c r="K68" s="17">
        <v>0</v>
      </c>
      <c r="L68" s="15">
        <f t="shared" si="28"/>
        <v>100862</v>
      </c>
      <c r="M68" s="15">
        <f t="shared" si="31"/>
        <v>118563</v>
      </c>
      <c r="N68" s="15">
        <v>14815</v>
      </c>
      <c r="O68" s="15">
        <v>29800</v>
      </c>
      <c r="P68" s="15">
        <f t="shared" si="29"/>
        <v>-14985</v>
      </c>
      <c r="Q68" s="15">
        <f t="shared" si="30"/>
        <v>85877</v>
      </c>
    </row>
    <row r="69" spans="1:17" s="10" customFormat="1" ht="12.75" x14ac:dyDescent="0.2">
      <c r="A69" s="20" t="s">
        <v>90</v>
      </c>
      <c r="B69" s="15">
        <v>4918</v>
      </c>
      <c r="C69" s="15">
        <v>121</v>
      </c>
      <c r="D69" s="15">
        <f>114414-C69-B69</f>
        <v>109375</v>
      </c>
      <c r="E69" s="15">
        <v>19443</v>
      </c>
      <c r="F69" s="15">
        <f t="shared" si="27"/>
        <v>94971</v>
      </c>
      <c r="G69" s="15">
        <v>190</v>
      </c>
      <c r="H69" s="15">
        <v>3013</v>
      </c>
      <c r="I69" s="15">
        <v>1101</v>
      </c>
      <c r="J69" s="17">
        <v>0</v>
      </c>
      <c r="K69" s="17">
        <v>0</v>
      </c>
      <c r="L69" s="15">
        <f t="shared" si="28"/>
        <v>99275</v>
      </c>
      <c r="M69" s="15">
        <f t="shared" si="31"/>
        <v>118718</v>
      </c>
      <c r="N69" s="15">
        <v>14914</v>
      </c>
      <c r="O69" s="15">
        <v>30225</v>
      </c>
      <c r="P69" s="15">
        <f t="shared" si="29"/>
        <v>-15311</v>
      </c>
      <c r="Q69" s="15">
        <f t="shared" si="30"/>
        <v>83964</v>
      </c>
    </row>
    <row r="70" spans="1:17" ht="12.75" x14ac:dyDescent="0.2">
      <c r="A70" s="20" t="s">
        <v>91</v>
      </c>
      <c r="B70" s="15">
        <v>4876</v>
      </c>
      <c r="C70" s="15">
        <v>58</v>
      </c>
      <c r="D70" s="15">
        <f>106808-C70-B70</f>
        <v>101874</v>
      </c>
      <c r="E70" s="15">
        <v>18846</v>
      </c>
      <c r="F70" s="15">
        <f t="shared" si="27"/>
        <v>87962</v>
      </c>
      <c r="G70" s="15">
        <v>190</v>
      </c>
      <c r="H70" s="15">
        <v>3013</v>
      </c>
      <c r="I70" s="15">
        <v>1101</v>
      </c>
      <c r="J70" s="17">
        <v>0</v>
      </c>
      <c r="K70" s="17">
        <v>0</v>
      </c>
      <c r="L70" s="15">
        <f t="shared" si="28"/>
        <v>92266</v>
      </c>
      <c r="M70" s="15">
        <f t="shared" si="31"/>
        <v>111112</v>
      </c>
      <c r="N70" s="15">
        <v>11957</v>
      </c>
      <c r="O70" s="15">
        <v>25931</v>
      </c>
      <c r="P70" s="15">
        <f t="shared" si="29"/>
        <v>-13974</v>
      </c>
      <c r="Q70" s="15">
        <f t="shared" si="30"/>
        <v>78292</v>
      </c>
    </row>
    <row r="71" spans="1:17" ht="12.75" x14ac:dyDescent="0.2">
      <c r="A71" s="20" t="s">
        <v>80</v>
      </c>
      <c r="B71" s="15">
        <v>4876</v>
      </c>
      <c r="C71" s="15">
        <v>56</v>
      </c>
      <c r="D71" s="15">
        <f>105040-C71-B71</f>
        <v>100108</v>
      </c>
      <c r="E71" s="15">
        <v>17117</v>
      </c>
      <c r="F71" s="15">
        <f t="shared" si="27"/>
        <v>87923</v>
      </c>
      <c r="G71" s="15">
        <v>190</v>
      </c>
      <c r="H71" s="15">
        <v>3229</v>
      </c>
      <c r="I71" s="15">
        <v>1102</v>
      </c>
      <c r="J71" s="17">
        <v>0</v>
      </c>
      <c r="K71" s="17">
        <v>0</v>
      </c>
      <c r="L71" s="15">
        <f t="shared" si="28"/>
        <v>92444</v>
      </c>
      <c r="M71" s="15">
        <f t="shared" si="31"/>
        <v>109561</v>
      </c>
      <c r="N71" s="15">
        <v>10192</v>
      </c>
      <c r="O71" s="15">
        <v>23285</v>
      </c>
      <c r="P71" s="15">
        <f t="shared" si="29"/>
        <v>-13093</v>
      </c>
      <c r="Q71" s="15">
        <f t="shared" si="30"/>
        <v>79351</v>
      </c>
    </row>
    <row r="72" spans="1:17" ht="12.75" x14ac:dyDescent="0.2">
      <c r="A72" s="20" t="s">
        <v>92</v>
      </c>
      <c r="B72" s="15">
        <v>4884</v>
      </c>
      <c r="C72" s="15">
        <v>282</v>
      </c>
      <c r="D72" s="15">
        <f>104708-C72-B72</f>
        <v>99542</v>
      </c>
      <c r="E72" s="15">
        <v>18081</v>
      </c>
      <c r="F72" s="15">
        <f t="shared" si="27"/>
        <v>86627</v>
      </c>
      <c r="G72" s="15">
        <v>190</v>
      </c>
      <c r="H72" s="15">
        <v>3229</v>
      </c>
      <c r="I72" s="15">
        <v>1102</v>
      </c>
      <c r="J72" s="17">
        <v>0</v>
      </c>
      <c r="K72" s="17">
        <v>0</v>
      </c>
      <c r="L72" s="15">
        <f t="shared" si="28"/>
        <v>91148</v>
      </c>
      <c r="M72" s="15">
        <f t="shared" si="31"/>
        <v>109229</v>
      </c>
      <c r="N72" s="15">
        <v>9174</v>
      </c>
      <c r="O72" s="15">
        <v>20980</v>
      </c>
      <c r="P72" s="15">
        <f t="shared" si="29"/>
        <v>-11806</v>
      </c>
      <c r="Q72" s="15">
        <f t="shared" si="30"/>
        <v>79342</v>
      </c>
    </row>
    <row r="73" spans="1:17" ht="12.75" x14ac:dyDescent="0.2">
      <c r="A73" s="20" t="s">
        <v>93</v>
      </c>
      <c r="B73" s="15">
        <v>5172</v>
      </c>
      <c r="C73" s="15">
        <v>338</v>
      </c>
      <c r="D73" s="15">
        <f>96401-C73-B73</f>
        <v>90891</v>
      </c>
      <c r="E73" s="15">
        <v>17988</v>
      </c>
      <c r="F73" s="15">
        <f t="shared" si="27"/>
        <v>78413</v>
      </c>
      <c r="G73" s="15">
        <v>190</v>
      </c>
      <c r="H73" s="15">
        <v>3229</v>
      </c>
      <c r="I73" s="15">
        <v>1102</v>
      </c>
      <c r="J73" s="17">
        <v>0</v>
      </c>
      <c r="K73" s="17">
        <v>0</v>
      </c>
      <c r="L73" s="15">
        <f t="shared" si="28"/>
        <v>82934</v>
      </c>
      <c r="M73" s="15">
        <f t="shared" si="31"/>
        <v>100922</v>
      </c>
      <c r="N73" s="15">
        <v>10594</v>
      </c>
      <c r="O73" s="15">
        <v>20611</v>
      </c>
      <c r="P73" s="15">
        <f t="shared" si="29"/>
        <v>-10017</v>
      </c>
      <c r="Q73" s="15">
        <f t="shared" si="30"/>
        <v>72917</v>
      </c>
    </row>
    <row r="74" spans="1:17" ht="12.75" x14ac:dyDescent="0.2">
      <c r="A74" s="20" t="s">
        <v>81</v>
      </c>
      <c r="B74" s="15">
        <v>5095</v>
      </c>
      <c r="C74" s="15">
        <v>42</v>
      </c>
      <c r="D74" s="15">
        <f>103260-C74-B74</f>
        <v>98123</v>
      </c>
      <c r="E74" s="15">
        <v>17001</v>
      </c>
      <c r="F74" s="15">
        <f t="shared" si="27"/>
        <v>86259</v>
      </c>
      <c r="G74" s="15">
        <v>190</v>
      </c>
      <c r="H74" s="15">
        <v>3360</v>
      </c>
      <c r="I74" s="15">
        <v>1173</v>
      </c>
      <c r="J74" s="17">
        <v>0</v>
      </c>
      <c r="K74" s="17">
        <v>0</v>
      </c>
      <c r="L74" s="15">
        <f t="shared" si="28"/>
        <v>90982</v>
      </c>
      <c r="M74" s="15">
        <f t="shared" si="31"/>
        <v>107983</v>
      </c>
      <c r="N74" s="15">
        <v>13848</v>
      </c>
      <c r="O74" s="15">
        <v>17864</v>
      </c>
      <c r="P74" s="15">
        <f t="shared" si="29"/>
        <v>-4016</v>
      </c>
      <c r="Q74" s="15">
        <f t="shared" si="30"/>
        <v>86966</v>
      </c>
    </row>
    <row r="75" spans="1:17" ht="12.75" x14ac:dyDescent="0.2">
      <c r="A75" s="13" t="s">
        <v>35</v>
      </c>
      <c r="B75" s="15"/>
      <c r="C75" s="15"/>
      <c r="D75" s="15"/>
      <c r="E75" s="15"/>
      <c r="F75" s="15"/>
      <c r="G75" s="15"/>
      <c r="H75" s="15"/>
      <c r="I75" s="15"/>
      <c r="J75" s="15" t="s">
        <v>58</v>
      </c>
      <c r="K75" s="15"/>
      <c r="L75" s="15"/>
      <c r="M75" s="15"/>
      <c r="N75" s="15"/>
      <c r="O75" s="15"/>
      <c r="P75" s="15"/>
      <c r="Q75" s="15"/>
    </row>
    <row r="76" spans="1:17" ht="12.75" x14ac:dyDescent="0.2">
      <c r="A76" s="20" t="s">
        <v>86</v>
      </c>
      <c r="B76" s="15">
        <v>5095</v>
      </c>
      <c r="C76" s="15">
        <v>310</v>
      </c>
      <c r="D76" s="15">
        <f>105272-C76-B76</f>
        <v>99867</v>
      </c>
      <c r="E76" s="15">
        <v>17876</v>
      </c>
      <c r="F76" s="15">
        <f t="shared" ref="F76:F87" si="32">B76+C76+D76-E76</f>
        <v>87396</v>
      </c>
      <c r="G76" s="15">
        <v>190</v>
      </c>
      <c r="H76" s="15">
        <v>3360</v>
      </c>
      <c r="I76" s="15">
        <v>1173</v>
      </c>
      <c r="J76" s="17">
        <v>0</v>
      </c>
      <c r="K76" s="17">
        <v>0</v>
      </c>
      <c r="L76" s="15">
        <f t="shared" ref="L76:L87" si="33">SUM(F76:K76)</f>
        <v>92119</v>
      </c>
      <c r="M76" s="15">
        <f t="shared" si="31"/>
        <v>109995</v>
      </c>
      <c r="N76" s="15">
        <v>11889</v>
      </c>
      <c r="O76" s="15">
        <v>17148</v>
      </c>
      <c r="P76" s="15">
        <f t="shared" ref="P76:P87" si="34">N76-O76</f>
        <v>-5259</v>
      </c>
      <c r="Q76" s="15">
        <f t="shared" ref="Q76:Q87" si="35">L76+P76</f>
        <v>86860</v>
      </c>
    </row>
    <row r="77" spans="1:17" ht="12.75" x14ac:dyDescent="0.2">
      <c r="A77" s="20" t="s">
        <v>87</v>
      </c>
      <c r="B77" s="15">
        <v>4963</v>
      </c>
      <c r="C77" s="15">
        <v>31</v>
      </c>
      <c r="D77" s="15">
        <f>107717-C77-B77</f>
        <v>102723</v>
      </c>
      <c r="E77" s="15">
        <v>15491</v>
      </c>
      <c r="F77" s="15">
        <f t="shared" si="32"/>
        <v>92226</v>
      </c>
      <c r="G77" s="15">
        <v>190</v>
      </c>
      <c r="H77" s="15">
        <v>3360</v>
      </c>
      <c r="I77" s="15">
        <v>1173</v>
      </c>
      <c r="J77" s="17">
        <v>0</v>
      </c>
      <c r="K77" s="17">
        <v>0</v>
      </c>
      <c r="L77" s="15">
        <f t="shared" si="33"/>
        <v>96949</v>
      </c>
      <c r="M77" s="15">
        <f t="shared" si="31"/>
        <v>112440</v>
      </c>
      <c r="N77" s="15">
        <v>14972</v>
      </c>
      <c r="O77" s="15">
        <v>16688</v>
      </c>
      <c r="P77" s="15">
        <f t="shared" si="34"/>
        <v>-1716</v>
      </c>
      <c r="Q77" s="15">
        <f t="shared" si="35"/>
        <v>95233</v>
      </c>
    </row>
    <row r="78" spans="1:17" ht="12.75" x14ac:dyDescent="0.2">
      <c r="A78" s="20" t="s">
        <v>78</v>
      </c>
      <c r="B78" s="15">
        <v>5003</v>
      </c>
      <c r="C78" s="15">
        <v>38</v>
      </c>
      <c r="D78" s="15">
        <f>115776-C78-B78</f>
        <v>110735</v>
      </c>
      <c r="E78" s="15">
        <v>14976</v>
      </c>
      <c r="F78" s="15">
        <f t="shared" si="32"/>
        <v>100800</v>
      </c>
      <c r="G78" s="15">
        <v>1060</v>
      </c>
      <c r="H78" s="15">
        <v>3905</v>
      </c>
      <c r="I78" s="15">
        <v>1867</v>
      </c>
      <c r="J78" s="17">
        <v>0</v>
      </c>
      <c r="K78" s="17">
        <v>0</v>
      </c>
      <c r="L78" s="15">
        <f t="shared" si="33"/>
        <v>107632</v>
      </c>
      <c r="M78" s="15">
        <f t="shared" si="31"/>
        <v>122608</v>
      </c>
      <c r="N78" s="15">
        <v>18480</v>
      </c>
      <c r="O78" s="15">
        <v>17573</v>
      </c>
      <c r="P78" s="15">
        <f t="shared" si="34"/>
        <v>907</v>
      </c>
      <c r="Q78" s="15">
        <f t="shared" si="35"/>
        <v>108539</v>
      </c>
    </row>
    <row r="79" spans="1:17" ht="12.75" x14ac:dyDescent="0.2">
      <c r="A79" s="20" t="s">
        <v>88</v>
      </c>
      <c r="B79" s="15">
        <v>4894</v>
      </c>
      <c r="C79" s="15">
        <v>287</v>
      </c>
      <c r="D79" s="15">
        <f>121242-C79-B79</f>
        <v>116061</v>
      </c>
      <c r="E79" s="15">
        <v>14228</v>
      </c>
      <c r="F79" s="15">
        <f t="shared" si="32"/>
        <v>107014</v>
      </c>
      <c r="G79" s="15">
        <v>1060</v>
      </c>
      <c r="H79" s="15">
        <v>3905</v>
      </c>
      <c r="I79" s="15">
        <v>1867</v>
      </c>
      <c r="J79" s="17">
        <v>0</v>
      </c>
      <c r="K79" s="17">
        <v>0</v>
      </c>
      <c r="L79" s="15">
        <f t="shared" si="33"/>
        <v>113846</v>
      </c>
      <c r="M79" s="15">
        <f t="shared" si="31"/>
        <v>128074</v>
      </c>
      <c r="N79" s="15">
        <v>18959</v>
      </c>
      <c r="O79" s="15">
        <v>17054</v>
      </c>
      <c r="P79" s="15">
        <f t="shared" si="34"/>
        <v>1905</v>
      </c>
      <c r="Q79" s="15">
        <f t="shared" si="35"/>
        <v>115751</v>
      </c>
    </row>
    <row r="80" spans="1:17" ht="12.75" x14ac:dyDescent="0.2">
      <c r="A80" s="20" t="s">
        <v>89</v>
      </c>
      <c r="B80" s="15">
        <v>4707</v>
      </c>
      <c r="C80" s="15">
        <v>57</v>
      </c>
      <c r="D80" s="15">
        <f>123753-C80-B80</f>
        <v>118989</v>
      </c>
      <c r="E80" s="15">
        <v>13733</v>
      </c>
      <c r="F80" s="15">
        <f t="shared" si="32"/>
        <v>110020</v>
      </c>
      <c r="G80" s="15">
        <v>1060</v>
      </c>
      <c r="H80" s="15">
        <v>3905</v>
      </c>
      <c r="I80" s="15">
        <v>1867</v>
      </c>
      <c r="J80" s="17">
        <v>0</v>
      </c>
      <c r="K80" s="17">
        <v>0</v>
      </c>
      <c r="L80" s="15">
        <f t="shared" si="33"/>
        <v>116852</v>
      </c>
      <c r="M80" s="15">
        <f t="shared" si="31"/>
        <v>130585</v>
      </c>
      <c r="N80" s="15">
        <v>23678</v>
      </c>
      <c r="O80" s="15">
        <v>18970</v>
      </c>
      <c r="P80" s="15">
        <f t="shared" si="34"/>
        <v>4708</v>
      </c>
      <c r="Q80" s="15">
        <f t="shared" si="35"/>
        <v>121560</v>
      </c>
    </row>
    <row r="81" spans="1:17" ht="12.75" x14ac:dyDescent="0.2">
      <c r="A81" s="20" t="s">
        <v>79</v>
      </c>
      <c r="B81" s="15">
        <v>4718</v>
      </c>
      <c r="C81" s="15">
        <v>57</v>
      </c>
      <c r="D81" s="15">
        <f>123224-C81-B81</f>
        <v>118449</v>
      </c>
      <c r="E81" s="15">
        <v>12704</v>
      </c>
      <c r="F81" s="15">
        <f t="shared" si="32"/>
        <v>110520</v>
      </c>
      <c r="G81" s="15">
        <v>1220</v>
      </c>
      <c r="H81" s="15">
        <v>4488</v>
      </c>
      <c r="I81" s="15">
        <v>2307</v>
      </c>
      <c r="J81" s="17">
        <v>0</v>
      </c>
      <c r="K81" s="17">
        <v>0</v>
      </c>
      <c r="L81" s="15">
        <f t="shared" si="33"/>
        <v>118535</v>
      </c>
      <c r="M81" s="15">
        <f t="shared" si="31"/>
        <v>131239</v>
      </c>
      <c r="N81" s="15">
        <v>23685</v>
      </c>
      <c r="O81" s="15">
        <v>19523</v>
      </c>
      <c r="P81" s="15">
        <f t="shared" si="34"/>
        <v>4162</v>
      </c>
      <c r="Q81" s="15">
        <f t="shared" si="35"/>
        <v>122697</v>
      </c>
    </row>
    <row r="82" spans="1:17" ht="12.75" x14ac:dyDescent="0.2">
      <c r="A82" s="20" t="s">
        <v>90</v>
      </c>
      <c r="B82" s="15">
        <v>4873</v>
      </c>
      <c r="C82" s="15">
        <v>221</v>
      </c>
      <c r="D82" s="15">
        <f>122707-C82-B82</f>
        <v>117613</v>
      </c>
      <c r="E82" s="15">
        <v>13552</v>
      </c>
      <c r="F82" s="15">
        <f t="shared" si="32"/>
        <v>109155</v>
      </c>
      <c r="G82" s="15">
        <v>607</v>
      </c>
      <c r="H82" s="15">
        <v>4488</v>
      </c>
      <c r="I82" s="15">
        <v>2307</v>
      </c>
      <c r="J82" s="17">
        <v>0</v>
      </c>
      <c r="K82" s="17">
        <v>0</v>
      </c>
      <c r="L82" s="15">
        <f t="shared" si="33"/>
        <v>116557</v>
      </c>
      <c r="M82" s="15">
        <f t="shared" si="31"/>
        <v>130109</v>
      </c>
      <c r="N82" s="15">
        <v>29787</v>
      </c>
      <c r="O82" s="15">
        <v>16774</v>
      </c>
      <c r="P82" s="15">
        <f t="shared" si="34"/>
        <v>13013</v>
      </c>
      <c r="Q82" s="15">
        <f t="shared" si="35"/>
        <v>129570</v>
      </c>
    </row>
    <row r="83" spans="1:17" ht="12.75" x14ac:dyDescent="0.2">
      <c r="A83" s="20" t="s">
        <v>91</v>
      </c>
      <c r="B83" s="15">
        <v>4718</v>
      </c>
      <c r="C83" s="15">
        <v>15</v>
      </c>
      <c r="D83" s="15">
        <f>121645-C83-B83</f>
        <v>116912</v>
      </c>
      <c r="E83" s="15">
        <v>10753</v>
      </c>
      <c r="F83" s="15">
        <f t="shared" si="32"/>
        <v>110892</v>
      </c>
      <c r="G83" s="15">
        <v>1154</v>
      </c>
      <c r="H83" s="15">
        <v>4488</v>
      </c>
      <c r="I83" s="15">
        <v>2307</v>
      </c>
      <c r="J83" s="17">
        <v>0</v>
      </c>
      <c r="K83" s="17">
        <v>0</v>
      </c>
      <c r="L83" s="15">
        <f t="shared" si="33"/>
        <v>118841</v>
      </c>
      <c r="M83" s="15">
        <f t="shared" si="31"/>
        <v>129594</v>
      </c>
      <c r="N83" s="15">
        <v>27813</v>
      </c>
      <c r="O83" s="15">
        <v>16422</v>
      </c>
      <c r="P83" s="15">
        <f t="shared" si="34"/>
        <v>11391</v>
      </c>
      <c r="Q83" s="15">
        <f t="shared" si="35"/>
        <v>130232</v>
      </c>
    </row>
    <row r="84" spans="1:17" ht="12.75" x14ac:dyDescent="0.2">
      <c r="A84" s="20" t="s">
        <v>80</v>
      </c>
      <c r="B84" s="15">
        <v>4844</v>
      </c>
      <c r="C84" s="15">
        <v>15</v>
      </c>
      <c r="D84" s="15">
        <f>121136-C84-B84</f>
        <v>116277</v>
      </c>
      <c r="E84" s="15">
        <v>9498</v>
      </c>
      <c r="F84" s="15">
        <f t="shared" si="32"/>
        <v>111638</v>
      </c>
      <c r="G84" s="15">
        <v>1618</v>
      </c>
      <c r="H84" s="15">
        <v>5034</v>
      </c>
      <c r="I84" s="15">
        <v>3066</v>
      </c>
      <c r="J84" s="17">
        <v>0</v>
      </c>
      <c r="K84" s="17">
        <v>0</v>
      </c>
      <c r="L84" s="15">
        <f t="shared" si="33"/>
        <v>121356</v>
      </c>
      <c r="M84" s="15">
        <f t="shared" si="31"/>
        <v>130854</v>
      </c>
      <c r="N84" s="15">
        <v>30244</v>
      </c>
      <c r="O84" s="15">
        <v>14898</v>
      </c>
      <c r="P84" s="15">
        <f t="shared" si="34"/>
        <v>15346</v>
      </c>
      <c r="Q84" s="15">
        <f t="shared" si="35"/>
        <v>136702</v>
      </c>
    </row>
    <row r="85" spans="1:17" ht="12.75" x14ac:dyDescent="0.2">
      <c r="A85" s="20" t="s">
        <v>92</v>
      </c>
      <c r="B85" s="15">
        <v>4844</v>
      </c>
      <c r="C85" s="15">
        <v>169</v>
      </c>
      <c r="D85" s="15">
        <f>115429-C85-B85</f>
        <v>110416</v>
      </c>
      <c r="E85" s="15">
        <v>12691</v>
      </c>
      <c r="F85" s="15">
        <f t="shared" si="32"/>
        <v>102738</v>
      </c>
      <c r="G85" s="15">
        <v>1570</v>
      </c>
      <c r="H85" s="15">
        <v>5034</v>
      </c>
      <c r="I85" s="15">
        <v>3066</v>
      </c>
      <c r="J85" s="17">
        <v>0</v>
      </c>
      <c r="K85" s="17">
        <v>0</v>
      </c>
      <c r="L85" s="15">
        <f t="shared" si="33"/>
        <v>112408</v>
      </c>
      <c r="M85" s="15">
        <f t="shared" si="31"/>
        <v>125099</v>
      </c>
      <c r="N85" s="15">
        <v>31305</v>
      </c>
      <c r="O85" s="15">
        <v>15106</v>
      </c>
      <c r="P85" s="15">
        <f t="shared" si="34"/>
        <v>16199</v>
      </c>
      <c r="Q85" s="15">
        <f t="shared" si="35"/>
        <v>128607</v>
      </c>
    </row>
    <row r="86" spans="1:17" ht="12.75" x14ac:dyDescent="0.2">
      <c r="A86" s="20" t="s">
        <v>93</v>
      </c>
      <c r="B86" s="15">
        <v>4837</v>
      </c>
      <c r="C86" s="15">
        <v>12</v>
      </c>
      <c r="D86" s="15">
        <f>112354-C86-B86</f>
        <v>107505</v>
      </c>
      <c r="E86" s="15">
        <v>11760</v>
      </c>
      <c r="F86" s="15">
        <f t="shared" si="32"/>
        <v>100594</v>
      </c>
      <c r="G86" s="15">
        <v>631</v>
      </c>
      <c r="H86" s="15">
        <v>5034</v>
      </c>
      <c r="I86" s="15">
        <v>3066</v>
      </c>
      <c r="J86" s="17">
        <v>0</v>
      </c>
      <c r="K86" s="17">
        <v>0</v>
      </c>
      <c r="L86" s="15">
        <f t="shared" si="33"/>
        <v>109325</v>
      </c>
      <c r="M86" s="15">
        <f t="shared" si="31"/>
        <v>121085</v>
      </c>
      <c r="N86" s="15">
        <v>33069</v>
      </c>
      <c r="O86" s="15">
        <v>14545</v>
      </c>
      <c r="P86" s="15">
        <f t="shared" si="34"/>
        <v>18524</v>
      </c>
      <c r="Q86" s="15">
        <f t="shared" si="35"/>
        <v>127849</v>
      </c>
    </row>
    <row r="87" spans="1:17" ht="12.75" x14ac:dyDescent="0.2">
      <c r="A87" s="20" t="s">
        <v>81</v>
      </c>
      <c r="B87" s="15">
        <v>4974</v>
      </c>
      <c r="C87" s="15">
        <v>12</v>
      </c>
      <c r="D87" s="15">
        <f>119720-C87-B87</f>
        <v>114734</v>
      </c>
      <c r="E87" s="15">
        <v>10759</v>
      </c>
      <c r="F87" s="15">
        <f t="shared" si="32"/>
        <v>108961</v>
      </c>
      <c r="G87" s="15">
        <v>469</v>
      </c>
      <c r="H87" s="15">
        <v>3711</v>
      </c>
      <c r="I87" s="15">
        <v>1898</v>
      </c>
      <c r="J87" s="17">
        <v>0</v>
      </c>
      <c r="K87" s="17">
        <v>0</v>
      </c>
      <c r="L87" s="15">
        <f t="shared" si="33"/>
        <v>115039</v>
      </c>
      <c r="M87" s="15">
        <f t="shared" si="31"/>
        <v>125798</v>
      </c>
      <c r="N87" s="15">
        <v>24718</v>
      </c>
      <c r="O87" s="15">
        <v>15471</v>
      </c>
      <c r="P87" s="15">
        <f t="shared" si="34"/>
        <v>9247</v>
      </c>
      <c r="Q87" s="15">
        <f t="shared" si="35"/>
        <v>124286</v>
      </c>
    </row>
    <row r="88" spans="1:17" ht="15" customHeight="1" x14ac:dyDescent="0.2">
      <c r="A88" s="13" t="s">
        <v>36</v>
      </c>
      <c r="B88" s="15"/>
      <c r="C88" s="15"/>
      <c r="D88" s="15"/>
      <c r="E88" s="15"/>
      <c r="F88" s="15"/>
      <c r="G88" s="15"/>
      <c r="H88" s="15"/>
      <c r="I88" s="15"/>
      <c r="J88" s="15" t="s">
        <v>58</v>
      </c>
      <c r="K88" s="15"/>
      <c r="L88" s="15"/>
      <c r="M88" s="15"/>
      <c r="N88" s="15"/>
      <c r="O88" s="15"/>
      <c r="P88" s="15"/>
      <c r="Q88" s="15"/>
    </row>
    <row r="89" spans="1:17" ht="12.75" x14ac:dyDescent="0.2">
      <c r="A89" s="20" t="s">
        <v>86</v>
      </c>
      <c r="B89" s="15">
        <v>4974</v>
      </c>
      <c r="C89" s="15">
        <v>180</v>
      </c>
      <c r="D89" s="15">
        <f>116554-C89-B89</f>
        <v>111400</v>
      </c>
      <c r="E89" s="15">
        <v>10980</v>
      </c>
      <c r="F89" s="15">
        <f t="shared" ref="F89:F100" si="36">B89+C89+D89-E89</f>
        <v>105574</v>
      </c>
      <c r="G89" s="15">
        <v>157</v>
      </c>
      <c r="H89" s="15">
        <v>3711</v>
      </c>
      <c r="I89" s="15">
        <v>1898</v>
      </c>
      <c r="J89" s="17">
        <v>0</v>
      </c>
      <c r="K89" s="17">
        <v>0</v>
      </c>
      <c r="L89" s="15">
        <f t="shared" ref="L89:L100" si="37">SUM(F89:K89)</f>
        <v>111340</v>
      </c>
      <c r="M89" s="15">
        <f t="shared" si="31"/>
        <v>122320</v>
      </c>
      <c r="N89" s="15">
        <v>24318</v>
      </c>
      <c r="O89" s="15">
        <v>10311</v>
      </c>
      <c r="P89" s="15">
        <f t="shared" ref="P89:P100" si="38">N89-O89</f>
        <v>14007</v>
      </c>
      <c r="Q89" s="15">
        <f t="shared" ref="Q89:Q100" si="39">L89+P89</f>
        <v>125347</v>
      </c>
    </row>
    <row r="90" spans="1:17" ht="12.75" x14ac:dyDescent="0.2">
      <c r="A90" s="20" t="s">
        <v>87</v>
      </c>
      <c r="B90" s="15">
        <v>5018</v>
      </c>
      <c r="C90" s="15">
        <v>77</v>
      </c>
      <c r="D90" s="15">
        <f>117757-C90-B90</f>
        <v>112662</v>
      </c>
      <c r="E90" s="15">
        <v>8784</v>
      </c>
      <c r="F90" s="15">
        <f t="shared" si="36"/>
        <v>108973</v>
      </c>
      <c r="G90" s="15">
        <v>354</v>
      </c>
      <c r="H90" s="15">
        <v>3711</v>
      </c>
      <c r="I90" s="15">
        <v>1898</v>
      </c>
      <c r="J90" s="17">
        <v>0</v>
      </c>
      <c r="K90" s="17">
        <v>0</v>
      </c>
      <c r="L90" s="15">
        <f t="shared" si="37"/>
        <v>114936</v>
      </c>
      <c r="M90" s="15">
        <f t="shared" si="31"/>
        <v>123720</v>
      </c>
      <c r="N90" s="15">
        <v>26286</v>
      </c>
      <c r="O90" s="15">
        <v>10465</v>
      </c>
      <c r="P90" s="15">
        <f t="shared" si="38"/>
        <v>15821</v>
      </c>
      <c r="Q90" s="15">
        <f t="shared" si="39"/>
        <v>130757</v>
      </c>
    </row>
    <row r="91" spans="1:17" ht="12.75" x14ac:dyDescent="0.2">
      <c r="A91" s="20" t="s">
        <v>78</v>
      </c>
      <c r="B91" s="15">
        <v>4984</v>
      </c>
      <c r="C91" s="15">
        <v>77</v>
      </c>
      <c r="D91" s="15">
        <f>116868-C91-B91</f>
        <v>111807</v>
      </c>
      <c r="E91" s="15">
        <v>8638</v>
      </c>
      <c r="F91" s="15">
        <f t="shared" si="36"/>
        <v>108230</v>
      </c>
      <c r="G91" s="15">
        <v>3414</v>
      </c>
      <c r="H91" s="15">
        <v>2755</v>
      </c>
      <c r="I91" s="15">
        <v>3033</v>
      </c>
      <c r="J91" s="17">
        <v>0</v>
      </c>
      <c r="K91" s="17">
        <v>0</v>
      </c>
      <c r="L91" s="15">
        <f t="shared" si="37"/>
        <v>117432</v>
      </c>
      <c r="M91" s="15">
        <f t="shared" si="31"/>
        <v>126070</v>
      </c>
      <c r="N91" s="15">
        <v>30710</v>
      </c>
      <c r="O91" s="15">
        <v>12114</v>
      </c>
      <c r="P91" s="15">
        <f t="shared" si="38"/>
        <v>18596</v>
      </c>
      <c r="Q91" s="15">
        <f t="shared" si="39"/>
        <v>136028</v>
      </c>
    </row>
    <row r="92" spans="1:17" ht="12.75" x14ac:dyDescent="0.2">
      <c r="A92" s="20" t="s">
        <v>88</v>
      </c>
      <c r="B92" s="15">
        <v>4924</v>
      </c>
      <c r="C92" s="15">
        <v>77</v>
      </c>
      <c r="D92" s="15">
        <f>119856-C92-B92</f>
        <v>114855</v>
      </c>
      <c r="E92" s="15">
        <v>7455</v>
      </c>
      <c r="F92" s="15">
        <f t="shared" si="36"/>
        <v>112401</v>
      </c>
      <c r="G92" s="15">
        <v>3609</v>
      </c>
      <c r="H92" s="15">
        <v>2755</v>
      </c>
      <c r="I92" s="15">
        <v>3033</v>
      </c>
      <c r="J92" s="17">
        <v>0</v>
      </c>
      <c r="K92" s="17">
        <v>0</v>
      </c>
      <c r="L92" s="15">
        <f t="shared" si="37"/>
        <v>121798</v>
      </c>
      <c r="M92" s="15">
        <f t="shared" si="31"/>
        <v>129253</v>
      </c>
      <c r="N92" s="15">
        <v>35061</v>
      </c>
      <c r="O92" s="15">
        <v>9704</v>
      </c>
      <c r="P92" s="15">
        <f t="shared" si="38"/>
        <v>25357</v>
      </c>
      <c r="Q92" s="15">
        <f t="shared" si="39"/>
        <v>147155</v>
      </c>
    </row>
    <row r="93" spans="1:17" ht="12.75" x14ac:dyDescent="0.2">
      <c r="A93" s="20" t="s">
        <v>89</v>
      </c>
      <c r="B93" s="15">
        <v>4924</v>
      </c>
      <c r="C93" s="15">
        <v>12</v>
      </c>
      <c r="D93" s="15">
        <f>125111-C93-B93</f>
        <v>120175</v>
      </c>
      <c r="E93" s="15">
        <v>9083</v>
      </c>
      <c r="F93" s="15">
        <f t="shared" si="36"/>
        <v>116028</v>
      </c>
      <c r="G93" s="15">
        <v>3727</v>
      </c>
      <c r="H93" s="15">
        <v>2755</v>
      </c>
      <c r="I93" s="15">
        <v>3033</v>
      </c>
      <c r="J93" s="17">
        <v>0</v>
      </c>
      <c r="K93" s="17">
        <v>0</v>
      </c>
      <c r="L93" s="15">
        <f t="shared" si="37"/>
        <v>125543</v>
      </c>
      <c r="M93" s="15">
        <f t="shared" si="31"/>
        <v>134626</v>
      </c>
      <c r="N93" s="15">
        <v>36746</v>
      </c>
      <c r="O93" s="15">
        <v>4275</v>
      </c>
      <c r="P93" s="15">
        <f t="shared" si="38"/>
        <v>32471</v>
      </c>
      <c r="Q93" s="15">
        <f t="shared" si="39"/>
        <v>158014</v>
      </c>
    </row>
    <row r="94" spans="1:17" ht="12.75" x14ac:dyDescent="0.2">
      <c r="A94" s="20" t="s">
        <v>79</v>
      </c>
      <c r="B94" s="15">
        <v>4966</v>
      </c>
      <c r="C94" s="15">
        <v>13</v>
      </c>
      <c r="D94" s="15">
        <f>126848-C94-B94</f>
        <v>121869</v>
      </c>
      <c r="E94" s="15">
        <v>5908</v>
      </c>
      <c r="F94" s="15">
        <f t="shared" si="36"/>
        <v>120940</v>
      </c>
      <c r="G94" s="15">
        <v>3762</v>
      </c>
      <c r="H94" s="15">
        <v>2826</v>
      </c>
      <c r="I94" s="15">
        <v>3296</v>
      </c>
      <c r="J94" s="17">
        <v>0</v>
      </c>
      <c r="K94" s="17">
        <v>0</v>
      </c>
      <c r="L94" s="15">
        <f t="shared" si="37"/>
        <v>130824</v>
      </c>
      <c r="M94" s="15">
        <f t="shared" si="31"/>
        <v>136732</v>
      </c>
      <c r="N94" s="15">
        <v>31850</v>
      </c>
      <c r="O94" s="15">
        <v>6926</v>
      </c>
      <c r="P94" s="15">
        <f t="shared" si="38"/>
        <v>24924</v>
      </c>
      <c r="Q94" s="15">
        <f t="shared" si="39"/>
        <v>155748</v>
      </c>
    </row>
    <row r="95" spans="1:17" ht="12.75" x14ac:dyDescent="0.2">
      <c r="A95" s="20" t="s">
        <v>90</v>
      </c>
      <c r="B95" s="15">
        <v>5011</v>
      </c>
      <c r="C95" s="15">
        <v>30</v>
      </c>
      <c r="D95" s="15">
        <f>137452-C95-B95</f>
        <v>132411</v>
      </c>
      <c r="E95" s="15">
        <v>6474</v>
      </c>
      <c r="F95" s="15">
        <f t="shared" si="36"/>
        <v>130978</v>
      </c>
      <c r="G95" s="15">
        <v>4360</v>
      </c>
      <c r="H95" s="15">
        <v>2826</v>
      </c>
      <c r="I95" s="15">
        <v>3296</v>
      </c>
      <c r="J95" s="17">
        <v>0</v>
      </c>
      <c r="K95" s="17">
        <v>0</v>
      </c>
      <c r="L95" s="15">
        <f t="shared" si="37"/>
        <v>141460</v>
      </c>
      <c r="M95" s="15">
        <f t="shared" si="31"/>
        <v>147934</v>
      </c>
      <c r="N95" s="15">
        <v>32865</v>
      </c>
      <c r="O95" s="15">
        <v>8366</v>
      </c>
      <c r="P95" s="15">
        <f t="shared" si="38"/>
        <v>24499</v>
      </c>
      <c r="Q95" s="15">
        <f t="shared" si="39"/>
        <v>165959</v>
      </c>
    </row>
    <row r="96" spans="1:17" ht="12.75" x14ac:dyDescent="0.2">
      <c r="A96" s="20" t="s">
        <v>91</v>
      </c>
      <c r="B96" s="15">
        <v>5169</v>
      </c>
      <c r="C96" s="15">
        <v>28</v>
      </c>
      <c r="D96" s="15">
        <f>138632-C96-B96</f>
        <v>133435</v>
      </c>
      <c r="E96" s="15">
        <v>6105</v>
      </c>
      <c r="F96" s="15">
        <f t="shared" si="36"/>
        <v>132527</v>
      </c>
      <c r="G96" s="15">
        <v>2615</v>
      </c>
      <c r="H96" s="15">
        <v>2826</v>
      </c>
      <c r="I96" s="15">
        <v>3296</v>
      </c>
      <c r="J96" s="17">
        <v>0</v>
      </c>
      <c r="K96" s="17">
        <v>0</v>
      </c>
      <c r="L96" s="15">
        <f t="shared" si="37"/>
        <v>141264</v>
      </c>
      <c r="M96" s="15">
        <f t="shared" si="31"/>
        <v>147369</v>
      </c>
      <c r="N96" s="15">
        <v>26547</v>
      </c>
      <c r="O96" s="15">
        <v>7122</v>
      </c>
      <c r="P96" s="15">
        <f t="shared" si="38"/>
        <v>19425</v>
      </c>
      <c r="Q96" s="15">
        <f t="shared" si="39"/>
        <v>160689</v>
      </c>
    </row>
    <row r="97" spans="1:17" ht="12.75" x14ac:dyDescent="0.2">
      <c r="A97" s="20" t="s">
        <v>80</v>
      </c>
      <c r="B97" s="15">
        <v>5246</v>
      </c>
      <c r="C97" s="15">
        <v>28</v>
      </c>
      <c r="D97" s="15">
        <f>139678-C97-B97</f>
        <v>134404</v>
      </c>
      <c r="E97" s="15">
        <v>6459</v>
      </c>
      <c r="F97" s="15">
        <f t="shared" si="36"/>
        <v>133219</v>
      </c>
      <c r="G97" s="15">
        <v>2601</v>
      </c>
      <c r="H97" s="15">
        <v>3007</v>
      </c>
      <c r="I97" s="15">
        <v>5456</v>
      </c>
      <c r="J97" s="17">
        <v>0</v>
      </c>
      <c r="K97" s="17">
        <v>0</v>
      </c>
      <c r="L97" s="15">
        <f t="shared" si="37"/>
        <v>144283</v>
      </c>
      <c r="M97" s="15">
        <f t="shared" si="31"/>
        <v>150742</v>
      </c>
      <c r="N97" s="15">
        <v>27799</v>
      </c>
      <c r="O97" s="15">
        <v>3968</v>
      </c>
      <c r="P97" s="15">
        <f t="shared" si="38"/>
        <v>23831</v>
      </c>
      <c r="Q97" s="15">
        <f t="shared" si="39"/>
        <v>168114</v>
      </c>
    </row>
    <row r="98" spans="1:17" ht="12.75" x14ac:dyDescent="0.2">
      <c r="A98" s="20" t="s">
        <v>92</v>
      </c>
      <c r="B98" s="15">
        <v>5271</v>
      </c>
      <c r="C98" s="15">
        <v>28</v>
      </c>
      <c r="D98" s="15">
        <f>144803-C98-B98</f>
        <v>139504</v>
      </c>
      <c r="E98" s="15">
        <v>8243</v>
      </c>
      <c r="F98" s="15">
        <f t="shared" si="36"/>
        <v>136560</v>
      </c>
      <c r="G98" s="15">
        <v>1696</v>
      </c>
      <c r="H98" s="15">
        <v>3007</v>
      </c>
      <c r="I98" s="15">
        <v>5456</v>
      </c>
      <c r="J98" s="17">
        <v>0</v>
      </c>
      <c r="K98" s="17">
        <v>0</v>
      </c>
      <c r="L98" s="15">
        <f t="shared" si="37"/>
        <v>146719</v>
      </c>
      <c r="M98" s="15">
        <f t="shared" si="31"/>
        <v>154962</v>
      </c>
      <c r="N98" s="15">
        <v>30530</v>
      </c>
      <c r="O98" s="15">
        <v>18212</v>
      </c>
      <c r="P98" s="15">
        <f t="shared" si="38"/>
        <v>12318</v>
      </c>
      <c r="Q98" s="15">
        <f t="shared" si="39"/>
        <v>159037</v>
      </c>
    </row>
    <row r="99" spans="1:17" ht="12.75" x14ac:dyDescent="0.2">
      <c r="A99" s="20" t="s">
        <v>93</v>
      </c>
      <c r="B99" s="15">
        <v>5416</v>
      </c>
      <c r="C99" s="15">
        <v>34</v>
      </c>
      <c r="D99" s="15">
        <f>146270-C99-B99</f>
        <v>140820</v>
      </c>
      <c r="E99" s="15">
        <f>11262-3000</f>
        <v>8262</v>
      </c>
      <c r="F99" s="15">
        <f t="shared" si="36"/>
        <v>138008</v>
      </c>
      <c r="G99" s="15">
        <v>498</v>
      </c>
      <c r="H99" s="15">
        <v>3007</v>
      </c>
      <c r="I99" s="15">
        <v>5456</v>
      </c>
      <c r="J99" s="17">
        <v>0</v>
      </c>
      <c r="K99" s="17">
        <v>0</v>
      </c>
      <c r="L99" s="15">
        <f t="shared" si="37"/>
        <v>146969</v>
      </c>
      <c r="M99" s="15">
        <f t="shared" si="31"/>
        <v>155231</v>
      </c>
      <c r="N99" s="15">
        <v>33450</v>
      </c>
      <c r="O99" s="15">
        <v>18236</v>
      </c>
      <c r="P99" s="15">
        <f t="shared" si="38"/>
        <v>15214</v>
      </c>
      <c r="Q99" s="15">
        <f t="shared" si="39"/>
        <v>162183</v>
      </c>
    </row>
    <row r="100" spans="1:17" ht="12.75" x14ac:dyDescent="0.2">
      <c r="A100" s="20" t="s">
        <v>81</v>
      </c>
      <c r="B100" s="15">
        <v>5416</v>
      </c>
      <c r="C100" s="15">
        <v>34</v>
      </c>
      <c r="D100" s="15">
        <f>139542-C100-B100</f>
        <v>134092</v>
      </c>
      <c r="E100" s="15">
        <f>9536-3000</f>
        <v>6536</v>
      </c>
      <c r="F100" s="15">
        <f t="shared" si="36"/>
        <v>133006</v>
      </c>
      <c r="G100" s="15">
        <v>288</v>
      </c>
      <c r="H100" s="15">
        <v>4254</v>
      </c>
      <c r="I100" s="15">
        <v>5696</v>
      </c>
      <c r="J100" s="17">
        <v>0</v>
      </c>
      <c r="K100" s="17">
        <v>0</v>
      </c>
      <c r="L100" s="15">
        <f t="shared" si="37"/>
        <v>143244</v>
      </c>
      <c r="M100" s="15">
        <f t="shared" si="31"/>
        <v>149780</v>
      </c>
      <c r="N100" s="15">
        <v>36669</v>
      </c>
      <c r="O100" s="15">
        <v>22333</v>
      </c>
      <c r="P100" s="15">
        <f t="shared" si="38"/>
        <v>14336</v>
      </c>
      <c r="Q100" s="15">
        <f t="shared" si="39"/>
        <v>157580</v>
      </c>
    </row>
    <row r="101" spans="1:17" ht="12.75" x14ac:dyDescent="0.2">
      <c r="A101" s="13" t="s">
        <v>37</v>
      </c>
      <c r="B101" s="15"/>
      <c r="C101" s="15"/>
      <c r="D101" s="15"/>
      <c r="E101" s="15"/>
      <c r="F101" s="15"/>
      <c r="G101" s="15"/>
      <c r="H101" s="15"/>
      <c r="I101" s="15"/>
      <c r="J101" s="15" t="s">
        <v>58</v>
      </c>
      <c r="K101" s="15"/>
      <c r="L101" s="15"/>
      <c r="M101" s="15"/>
      <c r="N101" s="15"/>
      <c r="O101" s="15"/>
      <c r="P101" s="15"/>
      <c r="Q101" s="15"/>
    </row>
    <row r="102" spans="1:17" ht="12.75" x14ac:dyDescent="0.2">
      <c r="A102" s="20" t="s">
        <v>86</v>
      </c>
      <c r="B102" s="15">
        <v>5385</v>
      </c>
      <c r="C102" s="15">
        <v>35</v>
      </c>
      <c r="D102" s="15">
        <v>133321</v>
      </c>
      <c r="E102" s="15">
        <f>9635-3000</f>
        <v>6635</v>
      </c>
      <c r="F102" s="15">
        <f t="shared" ref="F102:F113" si="40">B102+C102+D102-E102</f>
        <v>132106</v>
      </c>
      <c r="G102" s="15">
        <v>151</v>
      </c>
      <c r="H102" s="15">
        <v>4254</v>
      </c>
      <c r="I102" s="15">
        <v>5696</v>
      </c>
      <c r="J102" s="17">
        <v>0</v>
      </c>
      <c r="K102" s="17">
        <v>0</v>
      </c>
      <c r="L102" s="15">
        <f t="shared" ref="L102:L113" si="41">SUM(F102:K102)</f>
        <v>142207</v>
      </c>
      <c r="M102" s="15">
        <f t="shared" si="31"/>
        <v>148842</v>
      </c>
      <c r="N102" s="15">
        <v>44454</v>
      </c>
      <c r="O102" s="15">
        <v>20473</v>
      </c>
      <c r="P102" s="15">
        <f t="shared" ref="P102:P113" si="42">N102-O102</f>
        <v>23981</v>
      </c>
      <c r="Q102" s="15">
        <f t="shared" ref="Q102:Q113" si="43">L102+P102</f>
        <v>166188</v>
      </c>
    </row>
    <row r="103" spans="1:17" ht="12.75" x14ac:dyDescent="0.2">
      <c r="A103" s="20" t="s">
        <v>87</v>
      </c>
      <c r="B103" s="15">
        <v>5431</v>
      </c>
      <c r="C103" s="15">
        <v>66</v>
      </c>
      <c r="D103" s="15">
        <v>134209</v>
      </c>
      <c r="E103" s="15">
        <f>10379-3000</f>
        <v>7379</v>
      </c>
      <c r="F103" s="15">
        <f t="shared" si="40"/>
        <v>132327</v>
      </c>
      <c r="G103" s="15">
        <v>458</v>
      </c>
      <c r="H103" s="15">
        <v>4254</v>
      </c>
      <c r="I103" s="15">
        <v>5696</v>
      </c>
      <c r="J103" s="17">
        <v>0</v>
      </c>
      <c r="K103" s="17">
        <v>0</v>
      </c>
      <c r="L103" s="15">
        <f t="shared" si="41"/>
        <v>142735</v>
      </c>
      <c r="M103" s="15">
        <f t="shared" si="31"/>
        <v>150114</v>
      </c>
      <c r="N103" s="15">
        <v>47259</v>
      </c>
      <c r="O103" s="15">
        <v>20537</v>
      </c>
      <c r="P103" s="15">
        <f t="shared" si="42"/>
        <v>26722</v>
      </c>
      <c r="Q103" s="15">
        <f t="shared" si="43"/>
        <v>169457</v>
      </c>
    </row>
    <row r="104" spans="1:17" ht="12.75" x14ac:dyDescent="0.2">
      <c r="A104" s="20" t="s">
        <v>78</v>
      </c>
      <c r="B104" s="15">
        <v>5377</v>
      </c>
      <c r="C104" s="15">
        <v>66</v>
      </c>
      <c r="D104" s="15">
        <v>133953</v>
      </c>
      <c r="E104" s="15">
        <f>8194-3000</f>
        <v>5194</v>
      </c>
      <c r="F104" s="15">
        <f t="shared" si="40"/>
        <v>134202</v>
      </c>
      <c r="G104" s="15">
        <v>3000</v>
      </c>
      <c r="H104" s="15">
        <v>4673</v>
      </c>
      <c r="I104" s="15">
        <v>3380</v>
      </c>
      <c r="J104" s="17">
        <v>0</v>
      </c>
      <c r="K104" s="17">
        <v>0</v>
      </c>
      <c r="L104" s="15">
        <f t="shared" si="41"/>
        <v>145255</v>
      </c>
      <c r="M104" s="15">
        <f t="shared" si="31"/>
        <v>150449</v>
      </c>
      <c r="N104" s="15">
        <v>43982</v>
      </c>
      <c r="O104" s="15">
        <v>12837</v>
      </c>
      <c r="P104" s="15">
        <f t="shared" si="42"/>
        <v>31145</v>
      </c>
      <c r="Q104" s="15">
        <f t="shared" si="43"/>
        <v>176400</v>
      </c>
    </row>
    <row r="105" spans="1:17" ht="12.75" x14ac:dyDescent="0.2">
      <c r="A105" s="20" t="s">
        <v>88</v>
      </c>
      <c r="B105" s="15">
        <v>5096</v>
      </c>
      <c r="C105" s="15">
        <v>66</v>
      </c>
      <c r="D105" s="15">
        <v>134001</v>
      </c>
      <c r="E105" s="15">
        <f>8384-3000</f>
        <v>5384</v>
      </c>
      <c r="F105" s="15">
        <f t="shared" si="40"/>
        <v>133779</v>
      </c>
      <c r="G105" s="15">
        <v>1330</v>
      </c>
      <c r="H105" s="15">
        <v>4673</v>
      </c>
      <c r="I105" s="15">
        <v>3380</v>
      </c>
      <c r="J105" s="17">
        <v>0</v>
      </c>
      <c r="K105" s="17">
        <v>0</v>
      </c>
      <c r="L105" s="15">
        <f t="shared" si="41"/>
        <v>143162</v>
      </c>
      <c r="M105" s="15">
        <f t="shared" si="31"/>
        <v>148546</v>
      </c>
      <c r="N105" s="15">
        <v>43220</v>
      </c>
      <c r="O105" s="15">
        <v>11506</v>
      </c>
      <c r="P105" s="15">
        <f t="shared" si="42"/>
        <v>31714</v>
      </c>
      <c r="Q105" s="15">
        <f t="shared" si="43"/>
        <v>174876</v>
      </c>
    </row>
    <row r="106" spans="1:17" ht="12.75" x14ac:dyDescent="0.2">
      <c r="A106" s="20" t="s">
        <v>89</v>
      </c>
      <c r="B106" s="15">
        <v>5075</v>
      </c>
      <c r="C106" s="15">
        <v>117</v>
      </c>
      <c r="D106" s="15">
        <v>134295</v>
      </c>
      <c r="E106" s="15">
        <f>9368-3000</f>
        <v>6368</v>
      </c>
      <c r="F106" s="15">
        <f t="shared" si="40"/>
        <v>133119</v>
      </c>
      <c r="G106" s="15">
        <v>1266</v>
      </c>
      <c r="H106" s="15">
        <v>4673</v>
      </c>
      <c r="I106" s="15">
        <v>3380</v>
      </c>
      <c r="J106" s="17">
        <v>0</v>
      </c>
      <c r="K106" s="17">
        <v>0</v>
      </c>
      <c r="L106" s="15">
        <f t="shared" si="41"/>
        <v>142438</v>
      </c>
      <c r="M106" s="15">
        <f t="shared" si="31"/>
        <v>148806</v>
      </c>
      <c r="N106" s="15">
        <v>43626</v>
      </c>
      <c r="O106" s="15">
        <v>14266</v>
      </c>
      <c r="P106" s="15">
        <f t="shared" si="42"/>
        <v>29360</v>
      </c>
      <c r="Q106" s="15">
        <f t="shared" si="43"/>
        <v>171798</v>
      </c>
    </row>
    <row r="107" spans="1:17" ht="12.75" x14ac:dyDescent="0.2">
      <c r="A107" s="20" t="s">
        <v>79</v>
      </c>
      <c r="B107" s="15">
        <v>5075</v>
      </c>
      <c r="C107" s="15">
        <v>117</v>
      </c>
      <c r="D107" s="15">
        <v>134693</v>
      </c>
      <c r="E107" s="15">
        <f>8546-3000</f>
        <v>5546</v>
      </c>
      <c r="F107" s="15">
        <f t="shared" si="40"/>
        <v>134339</v>
      </c>
      <c r="G107" s="15">
        <v>1003</v>
      </c>
      <c r="H107" s="15">
        <v>4684</v>
      </c>
      <c r="I107" s="15">
        <v>5588</v>
      </c>
      <c r="J107" s="17">
        <v>0</v>
      </c>
      <c r="K107" s="17">
        <v>0</v>
      </c>
      <c r="L107" s="15">
        <f t="shared" si="41"/>
        <v>145614</v>
      </c>
      <c r="M107" s="15">
        <f t="shared" si="31"/>
        <v>151160</v>
      </c>
      <c r="N107" s="15">
        <v>40348</v>
      </c>
      <c r="O107" s="15">
        <v>12592</v>
      </c>
      <c r="P107" s="15">
        <f t="shared" si="42"/>
        <v>27756</v>
      </c>
      <c r="Q107" s="15">
        <f t="shared" si="43"/>
        <v>173370</v>
      </c>
    </row>
    <row r="108" spans="1:17" ht="12.75" x14ac:dyDescent="0.2">
      <c r="A108" s="20" t="s">
        <v>90</v>
      </c>
      <c r="B108" s="15">
        <v>4976</v>
      </c>
      <c r="C108" s="15">
        <v>123</v>
      </c>
      <c r="D108" s="15">
        <v>132365</v>
      </c>
      <c r="E108" s="15">
        <f>9161-3000</f>
        <v>6161</v>
      </c>
      <c r="F108" s="15">
        <f t="shared" si="40"/>
        <v>131303</v>
      </c>
      <c r="G108" s="15">
        <v>490</v>
      </c>
      <c r="H108" s="15">
        <v>4684</v>
      </c>
      <c r="I108" s="15">
        <v>5588</v>
      </c>
      <c r="J108" s="17">
        <v>0</v>
      </c>
      <c r="K108" s="17">
        <v>0</v>
      </c>
      <c r="L108" s="15">
        <f t="shared" si="41"/>
        <v>142065</v>
      </c>
      <c r="M108" s="15">
        <f t="shared" si="31"/>
        <v>148226</v>
      </c>
      <c r="N108" s="15">
        <v>37959</v>
      </c>
      <c r="O108" s="15">
        <v>6832</v>
      </c>
      <c r="P108" s="15">
        <f t="shared" si="42"/>
        <v>31127</v>
      </c>
      <c r="Q108" s="15">
        <f t="shared" si="43"/>
        <v>173192</v>
      </c>
    </row>
    <row r="109" spans="1:17" ht="12.75" x14ac:dyDescent="0.2">
      <c r="A109" s="20" t="s">
        <v>91</v>
      </c>
      <c r="B109" s="15">
        <v>5049</v>
      </c>
      <c r="C109" s="15">
        <v>111</v>
      </c>
      <c r="D109" s="15">
        <v>131156</v>
      </c>
      <c r="E109" s="15">
        <f>7880-3000</f>
        <v>4880</v>
      </c>
      <c r="F109" s="15">
        <f t="shared" si="40"/>
        <v>131436</v>
      </c>
      <c r="G109" s="15">
        <v>468</v>
      </c>
      <c r="H109" s="15">
        <v>4684</v>
      </c>
      <c r="I109" s="15">
        <v>5588</v>
      </c>
      <c r="J109" s="17">
        <v>0</v>
      </c>
      <c r="K109" s="17">
        <v>0</v>
      </c>
      <c r="L109" s="15">
        <f t="shared" si="41"/>
        <v>142176</v>
      </c>
      <c r="M109" s="15">
        <f t="shared" si="31"/>
        <v>147056</v>
      </c>
      <c r="N109" s="15">
        <v>27854</v>
      </c>
      <c r="O109" s="15">
        <v>7954</v>
      </c>
      <c r="P109" s="15">
        <f t="shared" si="42"/>
        <v>19900</v>
      </c>
      <c r="Q109" s="15">
        <f t="shared" si="43"/>
        <v>162076</v>
      </c>
    </row>
    <row r="110" spans="1:17" ht="12.75" x14ac:dyDescent="0.2">
      <c r="A110" s="20" t="s">
        <v>80</v>
      </c>
      <c r="B110" s="15">
        <v>5049</v>
      </c>
      <c r="C110" s="15">
        <v>157</v>
      </c>
      <c r="D110" s="15">
        <v>113535</v>
      </c>
      <c r="E110" s="15">
        <v>5494</v>
      </c>
      <c r="F110" s="15">
        <f t="shared" si="40"/>
        <v>113247</v>
      </c>
      <c r="G110" s="15">
        <v>158</v>
      </c>
      <c r="H110" s="15">
        <v>5455</v>
      </c>
      <c r="I110" s="15">
        <v>5834</v>
      </c>
      <c r="J110" s="17">
        <v>0</v>
      </c>
      <c r="K110" s="17">
        <v>0</v>
      </c>
      <c r="L110" s="15">
        <f t="shared" si="41"/>
        <v>124694</v>
      </c>
      <c r="M110" s="15">
        <f t="shared" si="31"/>
        <v>130188</v>
      </c>
      <c r="N110" s="15">
        <v>30084</v>
      </c>
      <c r="O110" s="15">
        <v>6185</v>
      </c>
      <c r="P110" s="15">
        <f t="shared" si="42"/>
        <v>23899</v>
      </c>
      <c r="Q110" s="15">
        <f t="shared" si="43"/>
        <v>148593</v>
      </c>
    </row>
    <row r="111" spans="1:17" ht="12.75" x14ac:dyDescent="0.2">
      <c r="A111" s="20" t="s">
        <v>92</v>
      </c>
      <c r="B111" s="15">
        <v>5178</v>
      </c>
      <c r="C111" s="15">
        <v>157</v>
      </c>
      <c r="D111" s="15">
        <v>105355</v>
      </c>
      <c r="E111" s="15">
        <v>6946</v>
      </c>
      <c r="F111" s="15">
        <f t="shared" si="40"/>
        <v>103744</v>
      </c>
      <c r="G111" s="15">
        <v>178</v>
      </c>
      <c r="H111" s="15">
        <v>5455</v>
      </c>
      <c r="I111" s="15">
        <v>5834</v>
      </c>
      <c r="J111" s="17">
        <v>0</v>
      </c>
      <c r="K111" s="17">
        <v>0</v>
      </c>
      <c r="L111" s="15">
        <f t="shared" si="41"/>
        <v>115211</v>
      </c>
      <c r="M111" s="15">
        <f t="shared" si="31"/>
        <v>122157</v>
      </c>
      <c r="N111" s="15">
        <v>29013</v>
      </c>
      <c r="O111" s="15">
        <v>6901</v>
      </c>
      <c r="P111" s="15">
        <f t="shared" si="42"/>
        <v>22112</v>
      </c>
      <c r="Q111" s="15">
        <f t="shared" si="43"/>
        <v>137323</v>
      </c>
    </row>
    <row r="112" spans="1:17" ht="12.75" x14ac:dyDescent="0.2">
      <c r="A112" s="20" t="s">
        <v>93</v>
      </c>
      <c r="B112" s="15">
        <v>5178</v>
      </c>
      <c r="C112" s="15">
        <v>152</v>
      </c>
      <c r="D112" s="15">
        <v>102493</v>
      </c>
      <c r="E112" s="15">
        <v>5285</v>
      </c>
      <c r="F112" s="15">
        <f t="shared" si="40"/>
        <v>102538</v>
      </c>
      <c r="G112" s="15">
        <v>405</v>
      </c>
      <c r="H112" s="15">
        <v>5455</v>
      </c>
      <c r="I112" s="15">
        <v>5834</v>
      </c>
      <c r="J112" s="17">
        <v>0</v>
      </c>
      <c r="K112" s="17">
        <v>0</v>
      </c>
      <c r="L112" s="15">
        <f t="shared" si="41"/>
        <v>114232</v>
      </c>
      <c r="M112" s="15">
        <f t="shared" si="31"/>
        <v>119517</v>
      </c>
      <c r="N112" s="15">
        <v>33418</v>
      </c>
      <c r="O112" s="15">
        <v>12037</v>
      </c>
      <c r="P112" s="15">
        <f t="shared" si="42"/>
        <v>21381</v>
      </c>
      <c r="Q112" s="15">
        <f t="shared" si="43"/>
        <v>135613</v>
      </c>
    </row>
    <row r="113" spans="1:17" ht="12.75" x14ac:dyDescent="0.2">
      <c r="A113" s="20" t="s">
        <v>81</v>
      </c>
      <c r="B113" s="15">
        <v>5226</v>
      </c>
      <c r="C113" s="15">
        <v>163</v>
      </c>
      <c r="D113" s="15">
        <v>96183</v>
      </c>
      <c r="E113" s="15">
        <f>15010-10000</f>
        <v>5010</v>
      </c>
      <c r="F113" s="15">
        <f t="shared" si="40"/>
        <v>96562</v>
      </c>
      <c r="G113" s="15">
        <v>306</v>
      </c>
      <c r="H113" s="15">
        <v>5782</v>
      </c>
      <c r="I113" s="15">
        <v>6009</v>
      </c>
      <c r="J113" s="17">
        <v>0</v>
      </c>
      <c r="K113" s="17">
        <v>0</v>
      </c>
      <c r="L113" s="15">
        <f t="shared" si="41"/>
        <v>108659</v>
      </c>
      <c r="M113" s="15">
        <f t="shared" si="31"/>
        <v>113669</v>
      </c>
      <c r="N113" s="15">
        <v>30636</v>
      </c>
      <c r="O113" s="15">
        <v>13539</v>
      </c>
      <c r="P113" s="15">
        <f t="shared" si="42"/>
        <v>17097</v>
      </c>
      <c r="Q113" s="15">
        <f t="shared" si="43"/>
        <v>125756</v>
      </c>
    </row>
    <row r="114" spans="1:17" ht="12.75" x14ac:dyDescent="0.2">
      <c r="A114" s="13" t="s">
        <v>38</v>
      </c>
      <c r="B114" s="14"/>
      <c r="C114" s="14"/>
      <c r="D114" s="14"/>
      <c r="E114" s="14"/>
      <c r="F114" s="14"/>
      <c r="G114" s="14"/>
      <c r="H114" s="14"/>
      <c r="I114" s="14"/>
      <c r="J114" s="14"/>
      <c r="K114" s="14"/>
      <c r="L114" s="14"/>
      <c r="M114" s="14"/>
      <c r="N114" s="14"/>
      <c r="O114" s="14"/>
      <c r="P114" s="14"/>
      <c r="Q114" s="14"/>
    </row>
    <row r="115" spans="1:17" ht="12.75" x14ac:dyDescent="0.2">
      <c r="A115" s="20" t="s">
        <v>86</v>
      </c>
      <c r="B115" s="15">
        <v>5414</v>
      </c>
      <c r="C115" s="15">
        <v>217</v>
      </c>
      <c r="D115" s="15">
        <f>118962-12041-C115-B115</f>
        <v>101290</v>
      </c>
      <c r="E115" s="15">
        <f>15108-10000</f>
        <v>5108</v>
      </c>
      <c r="F115" s="15">
        <f t="shared" ref="F115:F126" si="44">B115+C115+D115-E115</f>
        <v>101813</v>
      </c>
      <c r="G115" s="15">
        <v>250</v>
      </c>
      <c r="H115" s="15">
        <v>5782</v>
      </c>
      <c r="I115" s="15">
        <v>6009</v>
      </c>
      <c r="J115" s="17">
        <v>0</v>
      </c>
      <c r="K115" s="17">
        <v>0</v>
      </c>
      <c r="L115" s="15">
        <f t="shared" ref="L115:L126" si="45">SUM(F115:K115)</f>
        <v>113854</v>
      </c>
      <c r="M115" s="15">
        <f>B115+C115+D115+G115+H115+I115+J115+K115</f>
        <v>118962</v>
      </c>
      <c r="N115" s="15">
        <v>42318</v>
      </c>
      <c r="O115" s="15">
        <v>23117</v>
      </c>
      <c r="P115" s="15">
        <f t="shared" ref="P115:P126" si="46">N115-O115</f>
        <v>19201</v>
      </c>
      <c r="Q115" s="15">
        <f>L115+P115</f>
        <v>133055</v>
      </c>
    </row>
    <row r="116" spans="1:17" ht="12.75" x14ac:dyDescent="0.2">
      <c r="A116" s="20" t="s">
        <v>87</v>
      </c>
      <c r="B116" s="15">
        <v>5227</v>
      </c>
      <c r="C116" s="15">
        <v>220</v>
      </c>
      <c r="D116" s="15">
        <f>121743-C116-B116</f>
        <v>116296</v>
      </c>
      <c r="E116" s="15">
        <f>16957-10000</f>
        <v>6957</v>
      </c>
      <c r="F116" s="15">
        <f t="shared" si="44"/>
        <v>114786</v>
      </c>
      <c r="G116" s="15">
        <v>651</v>
      </c>
      <c r="H116" s="15">
        <v>5782</v>
      </c>
      <c r="I116" s="15">
        <v>6009</v>
      </c>
      <c r="J116" s="17">
        <v>0</v>
      </c>
      <c r="K116" s="17">
        <v>0</v>
      </c>
      <c r="L116" s="15">
        <f t="shared" si="45"/>
        <v>127228</v>
      </c>
      <c r="M116" s="15">
        <f t="shared" ref="M116:M165" si="47">B116+C116+D116+G116+H116+I116+J116+K116</f>
        <v>134185</v>
      </c>
      <c r="N116" s="15">
        <v>30444</v>
      </c>
      <c r="O116" s="15">
        <v>21497</v>
      </c>
      <c r="P116" s="15">
        <f t="shared" si="46"/>
        <v>8947</v>
      </c>
      <c r="Q116" s="15">
        <f t="shared" ref="Q116:Q126" si="48">L116+P116</f>
        <v>136175</v>
      </c>
    </row>
    <row r="117" spans="1:17" ht="12.75" x14ac:dyDescent="0.2">
      <c r="A117" s="20" t="s">
        <v>78</v>
      </c>
      <c r="B117" s="15">
        <v>5289</v>
      </c>
      <c r="C117" s="15">
        <v>256</v>
      </c>
      <c r="D117" s="15">
        <f>122542-C117-B117</f>
        <v>116997</v>
      </c>
      <c r="E117" s="15">
        <f>16368-10000</f>
        <v>6368</v>
      </c>
      <c r="F117" s="15">
        <f t="shared" si="44"/>
        <v>116174</v>
      </c>
      <c r="G117" s="15">
        <v>512</v>
      </c>
      <c r="H117" s="15">
        <v>6210</v>
      </c>
      <c r="I117" s="15">
        <v>6074</v>
      </c>
      <c r="J117" s="17">
        <v>0</v>
      </c>
      <c r="K117" s="17">
        <v>0</v>
      </c>
      <c r="L117" s="15">
        <f t="shared" si="45"/>
        <v>128970</v>
      </c>
      <c r="M117" s="15">
        <f t="shared" si="47"/>
        <v>135338</v>
      </c>
      <c r="N117" s="15">
        <v>36508</v>
      </c>
      <c r="O117" s="15">
        <v>25828</v>
      </c>
      <c r="P117" s="15">
        <f t="shared" si="46"/>
        <v>10680</v>
      </c>
      <c r="Q117" s="15">
        <f t="shared" si="48"/>
        <v>139650</v>
      </c>
    </row>
    <row r="118" spans="1:17" ht="12.75" x14ac:dyDescent="0.2">
      <c r="A118" s="20" t="s">
        <v>88</v>
      </c>
      <c r="B118" s="15">
        <v>5192</v>
      </c>
      <c r="C118" s="15">
        <v>256</v>
      </c>
      <c r="D118" s="15">
        <f>128217-C118-B118</f>
        <v>122769</v>
      </c>
      <c r="E118" s="15">
        <f>17382-10000</f>
        <v>7382</v>
      </c>
      <c r="F118" s="15">
        <f t="shared" si="44"/>
        <v>120835</v>
      </c>
      <c r="G118" s="15">
        <v>530</v>
      </c>
      <c r="H118" s="15">
        <v>6210</v>
      </c>
      <c r="I118" s="15">
        <v>6074</v>
      </c>
      <c r="J118" s="17">
        <v>0</v>
      </c>
      <c r="K118" s="17">
        <v>0</v>
      </c>
      <c r="L118" s="15">
        <f t="shared" si="45"/>
        <v>133649</v>
      </c>
      <c r="M118" s="15">
        <f t="shared" si="47"/>
        <v>141031</v>
      </c>
      <c r="N118" s="15">
        <v>32970</v>
      </c>
      <c r="O118" s="15">
        <v>18113</v>
      </c>
      <c r="P118" s="15">
        <f t="shared" si="46"/>
        <v>14857</v>
      </c>
      <c r="Q118" s="15">
        <f t="shared" si="48"/>
        <v>148506</v>
      </c>
    </row>
    <row r="119" spans="1:17" ht="12.75" x14ac:dyDescent="0.2">
      <c r="A119" s="20" t="s">
        <v>89</v>
      </c>
      <c r="B119" s="15">
        <v>5125</v>
      </c>
      <c r="C119" s="15">
        <v>286</v>
      </c>
      <c r="D119" s="15">
        <f>129415-C119-B119</f>
        <v>124004</v>
      </c>
      <c r="E119" s="15">
        <f>15052-10000</f>
        <v>5052</v>
      </c>
      <c r="F119" s="15">
        <f t="shared" si="44"/>
        <v>124363</v>
      </c>
      <c r="G119" s="15">
        <v>133</v>
      </c>
      <c r="H119" s="15">
        <v>6210</v>
      </c>
      <c r="I119" s="15">
        <v>6074</v>
      </c>
      <c r="J119" s="17">
        <v>0</v>
      </c>
      <c r="K119" s="17">
        <v>0</v>
      </c>
      <c r="L119" s="15">
        <f t="shared" si="45"/>
        <v>136780</v>
      </c>
      <c r="M119" s="15">
        <f t="shared" si="47"/>
        <v>141832</v>
      </c>
      <c r="N119" s="15">
        <v>29882</v>
      </c>
      <c r="O119" s="15">
        <v>16654</v>
      </c>
      <c r="P119" s="15">
        <f t="shared" si="46"/>
        <v>13228</v>
      </c>
      <c r="Q119" s="15">
        <f t="shared" si="48"/>
        <v>150008</v>
      </c>
    </row>
    <row r="120" spans="1:17" ht="12.75" x14ac:dyDescent="0.2">
      <c r="A120" s="20" t="s">
        <v>79</v>
      </c>
      <c r="B120" s="15">
        <v>5285</v>
      </c>
      <c r="C120" s="15">
        <v>323</v>
      </c>
      <c r="D120" s="15">
        <f>136477-C120-B120</f>
        <v>130869</v>
      </c>
      <c r="E120" s="15">
        <f>17145-10000</f>
        <v>7145</v>
      </c>
      <c r="F120" s="15">
        <f t="shared" si="44"/>
        <v>129332</v>
      </c>
      <c r="G120" s="15">
        <v>337</v>
      </c>
      <c r="H120" s="15">
        <v>6223</v>
      </c>
      <c r="I120" s="15">
        <v>6181</v>
      </c>
      <c r="J120" s="17">
        <v>0</v>
      </c>
      <c r="K120" s="17">
        <v>0</v>
      </c>
      <c r="L120" s="15">
        <f t="shared" si="45"/>
        <v>142073</v>
      </c>
      <c r="M120" s="15">
        <f t="shared" si="47"/>
        <v>149218</v>
      </c>
      <c r="N120" s="15">
        <v>28800</v>
      </c>
      <c r="O120" s="15">
        <v>13327</v>
      </c>
      <c r="P120" s="15">
        <f t="shared" si="46"/>
        <v>15473</v>
      </c>
      <c r="Q120" s="15">
        <f t="shared" si="48"/>
        <v>157546</v>
      </c>
    </row>
    <row r="121" spans="1:17" ht="12.75" x14ac:dyDescent="0.2">
      <c r="A121" s="20" t="s">
        <v>90</v>
      </c>
      <c r="B121" s="15">
        <v>5417</v>
      </c>
      <c r="C121" s="15">
        <v>329</v>
      </c>
      <c r="D121" s="15">
        <f>126912-B121-C121</f>
        <v>121166</v>
      </c>
      <c r="E121" s="15">
        <f>16918-10000</f>
        <v>6918</v>
      </c>
      <c r="F121" s="15">
        <f t="shared" si="44"/>
        <v>119994</v>
      </c>
      <c r="G121" s="15">
        <v>680</v>
      </c>
      <c r="H121" s="15">
        <v>6223</v>
      </c>
      <c r="I121" s="15">
        <v>6181</v>
      </c>
      <c r="J121" s="17">
        <v>0</v>
      </c>
      <c r="K121" s="17">
        <v>0</v>
      </c>
      <c r="L121" s="15">
        <f t="shared" si="45"/>
        <v>133078</v>
      </c>
      <c r="M121" s="15">
        <f t="shared" si="47"/>
        <v>139996</v>
      </c>
      <c r="N121" s="15">
        <v>24255</v>
      </c>
      <c r="O121" s="15">
        <v>10459</v>
      </c>
      <c r="P121" s="15">
        <f t="shared" si="46"/>
        <v>13796</v>
      </c>
      <c r="Q121" s="15">
        <f t="shared" si="48"/>
        <v>146874</v>
      </c>
    </row>
    <row r="122" spans="1:17" ht="12.75" x14ac:dyDescent="0.2">
      <c r="A122" s="20" t="s">
        <v>91</v>
      </c>
      <c r="B122" s="15">
        <v>5598</v>
      </c>
      <c r="C122" s="15">
        <v>377</v>
      </c>
      <c r="D122" s="15">
        <f>125432-B122-C122</f>
        <v>119457</v>
      </c>
      <c r="E122" s="15">
        <f>18497-10000</f>
        <v>8497</v>
      </c>
      <c r="F122" s="15">
        <f t="shared" si="44"/>
        <v>116935</v>
      </c>
      <c r="G122" s="15">
        <v>573</v>
      </c>
      <c r="H122" s="15">
        <v>6223</v>
      </c>
      <c r="I122" s="15">
        <v>6181</v>
      </c>
      <c r="J122" s="17">
        <v>0</v>
      </c>
      <c r="K122" s="17">
        <v>0</v>
      </c>
      <c r="L122" s="15">
        <f t="shared" si="45"/>
        <v>129912</v>
      </c>
      <c r="M122" s="15">
        <f t="shared" si="47"/>
        <v>138409</v>
      </c>
      <c r="N122" s="15">
        <v>39209</v>
      </c>
      <c r="O122" s="15">
        <v>13159</v>
      </c>
      <c r="P122" s="15">
        <f t="shared" si="46"/>
        <v>26050</v>
      </c>
      <c r="Q122" s="15">
        <f t="shared" si="48"/>
        <v>155962</v>
      </c>
    </row>
    <row r="123" spans="1:17" ht="12.75" x14ac:dyDescent="0.2">
      <c r="A123" s="20" t="s">
        <v>80</v>
      </c>
      <c r="B123" s="15">
        <v>5598</v>
      </c>
      <c r="C123" s="15">
        <v>377</v>
      </c>
      <c r="D123" s="15">
        <f>134535-B123-C123-G123-H123-I123</f>
        <v>115344</v>
      </c>
      <c r="E123" s="15">
        <f>16877-10000</f>
        <v>6877</v>
      </c>
      <c r="F123" s="15">
        <f t="shared" si="44"/>
        <v>114442</v>
      </c>
      <c r="G123" s="15">
        <v>326</v>
      </c>
      <c r="H123" s="15">
        <v>6543</v>
      </c>
      <c r="I123" s="15">
        <v>6347</v>
      </c>
      <c r="J123" s="17">
        <v>0</v>
      </c>
      <c r="K123" s="17">
        <v>0</v>
      </c>
      <c r="L123" s="15">
        <f t="shared" si="45"/>
        <v>127658</v>
      </c>
      <c r="M123" s="15">
        <f t="shared" si="47"/>
        <v>134535</v>
      </c>
      <c r="N123" s="15">
        <v>23526</v>
      </c>
      <c r="O123" s="15">
        <v>10828</v>
      </c>
      <c r="P123" s="15">
        <f t="shared" si="46"/>
        <v>12698</v>
      </c>
      <c r="Q123" s="15">
        <f t="shared" si="48"/>
        <v>140356</v>
      </c>
    </row>
    <row r="124" spans="1:17" ht="12.75" x14ac:dyDescent="0.2">
      <c r="A124" s="20" t="s">
        <v>92</v>
      </c>
      <c r="B124" s="15">
        <v>5575</v>
      </c>
      <c r="C124" s="15">
        <v>396</v>
      </c>
      <c r="D124" s="15">
        <f>117330-B124-C124-G124-H124-I124</f>
        <v>98112</v>
      </c>
      <c r="E124" s="15">
        <f>17581-10000</f>
        <v>7581</v>
      </c>
      <c r="F124" s="15">
        <f t="shared" si="44"/>
        <v>96502</v>
      </c>
      <c r="G124" s="15">
        <v>357</v>
      </c>
      <c r="H124" s="15">
        <v>6543</v>
      </c>
      <c r="I124" s="15">
        <v>6347</v>
      </c>
      <c r="J124" s="17">
        <v>0</v>
      </c>
      <c r="K124" s="17">
        <v>0</v>
      </c>
      <c r="L124" s="15">
        <f t="shared" si="45"/>
        <v>109749</v>
      </c>
      <c r="M124" s="15">
        <f t="shared" si="47"/>
        <v>117330</v>
      </c>
      <c r="N124" s="15">
        <v>25445</v>
      </c>
      <c r="O124" s="15">
        <v>12657</v>
      </c>
      <c r="P124" s="15">
        <f t="shared" si="46"/>
        <v>12788</v>
      </c>
      <c r="Q124" s="15">
        <f t="shared" si="48"/>
        <v>122537</v>
      </c>
    </row>
    <row r="125" spans="1:17" ht="12.75" x14ac:dyDescent="0.2">
      <c r="A125" s="20" t="s">
        <v>93</v>
      </c>
      <c r="B125" s="15">
        <v>5359</v>
      </c>
      <c r="C125" s="15">
        <v>3185</v>
      </c>
      <c r="D125" s="15">
        <v>85655</v>
      </c>
      <c r="E125" s="15">
        <f>18155-10000</f>
        <v>8155</v>
      </c>
      <c r="F125" s="15">
        <f t="shared" si="44"/>
        <v>86044</v>
      </c>
      <c r="G125" s="15">
        <v>319</v>
      </c>
      <c r="H125" s="15">
        <v>6543</v>
      </c>
      <c r="I125" s="15">
        <v>6347</v>
      </c>
      <c r="J125" s="17">
        <v>0</v>
      </c>
      <c r="K125" s="17">
        <v>0</v>
      </c>
      <c r="L125" s="15">
        <f t="shared" si="45"/>
        <v>99253</v>
      </c>
      <c r="M125" s="15">
        <f t="shared" si="47"/>
        <v>107408</v>
      </c>
      <c r="N125" s="15">
        <v>33327</v>
      </c>
      <c r="O125" s="15">
        <v>16977</v>
      </c>
      <c r="P125" s="15">
        <f t="shared" si="46"/>
        <v>16350</v>
      </c>
      <c r="Q125" s="15">
        <f t="shared" si="48"/>
        <v>115603</v>
      </c>
    </row>
    <row r="126" spans="1:17" ht="12.75" x14ac:dyDescent="0.2">
      <c r="A126" s="20" t="s">
        <v>81</v>
      </c>
      <c r="B126" s="15">
        <v>5220</v>
      </c>
      <c r="C126" s="15">
        <v>3222</v>
      </c>
      <c r="D126" s="15">
        <v>97443</v>
      </c>
      <c r="E126" s="15">
        <f>17576-9375</f>
        <v>8201</v>
      </c>
      <c r="F126" s="15">
        <f t="shared" si="44"/>
        <v>97684</v>
      </c>
      <c r="G126" s="15">
        <v>259</v>
      </c>
      <c r="H126" s="15">
        <v>6522</v>
      </c>
      <c r="I126" s="15">
        <v>6327</v>
      </c>
      <c r="J126" s="17">
        <v>0</v>
      </c>
      <c r="K126" s="17">
        <v>0</v>
      </c>
      <c r="L126" s="15">
        <f t="shared" si="45"/>
        <v>110792</v>
      </c>
      <c r="M126" s="15">
        <f t="shared" si="47"/>
        <v>118993</v>
      </c>
      <c r="N126" s="15">
        <v>23318</v>
      </c>
      <c r="O126" s="15">
        <v>31618</v>
      </c>
      <c r="P126" s="15">
        <f t="shared" si="46"/>
        <v>-8300</v>
      </c>
      <c r="Q126" s="15">
        <f t="shared" si="48"/>
        <v>102492</v>
      </c>
    </row>
    <row r="127" spans="1:17" ht="15.75" customHeight="1" x14ac:dyDescent="0.2">
      <c r="A127" s="13" t="s">
        <v>39</v>
      </c>
      <c r="B127" s="15"/>
      <c r="C127" s="15"/>
      <c r="D127" s="15"/>
      <c r="E127" s="15"/>
      <c r="F127" s="15"/>
      <c r="G127" s="15"/>
      <c r="H127" s="15"/>
      <c r="I127" s="15"/>
      <c r="J127" s="15" t="s">
        <v>58</v>
      </c>
      <c r="K127" s="15"/>
      <c r="L127" s="15"/>
      <c r="M127" s="15"/>
      <c r="N127" s="15"/>
      <c r="O127" s="15"/>
      <c r="P127" s="15"/>
      <c r="Q127" s="15"/>
    </row>
    <row r="128" spans="1:17" ht="12.75" x14ac:dyDescent="0.2">
      <c r="A128" s="20" t="s">
        <v>86</v>
      </c>
      <c r="B128" s="15">
        <v>5220</v>
      </c>
      <c r="C128" s="15">
        <v>3223</v>
      </c>
      <c r="D128" s="15">
        <f>117557-B128-C128-G128-H128-I128</f>
        <v>96176</v>
      </c>
      <c r="E128" s="15">
        <f>19098-9375</f>
        <v>9723</v>
      </c>
      <c r="F128" s="15">
        <f t="shared" ref="F128:F139" si="49">B128+C128+D128-E128</f>
        <v>94896</v>
      </c>
      <c r="G128" s="15">
        <v>89</v>
      </c>
      <c r="H128" s="15">
        <v>6522</v>
      </c>
      <c r="I128" s="15">
        <v>6327</v>
      </c>
      <c r="J128" s="17">
        <v>0</v>
      </c>
      <c r="K128" s="17">
        <v>0</v>
      </c>
      <c r="L128" s="15">
        <f t="shared" ref="L128:L139" si="50">SUM(F128:K128)</f>
        <v>107834</v>
      </c>
      <c r="M128" s="15">
        <f t="shared" si="47"/>
        <v>117557</v>
      </c>
      <c r="N128" s="15">
        <v>23596</v>
      </c>
      <c r="O128" s="15">
        <v>5564</v>
      </c>
      <c r="P128" s="15">
        <f t="shared" ref="P128:P139" si="51">N128-O128</f>
        <v>18032</v>
      </c>
      <c r="Q128" s="15">
        <f t="shared" ref="Q128:Q139" si="52">L128+P128</f>
        <v>125866</v>
      </c>
    </row>
    <row r="129" spans="1:17" ht="12.75" x14ac:dyDescent="0.2">
      <c r="A129" s="20" t="s">
        <v>87</v>
      </c>
      <c r="B129" s="15">
        <v>7955</v>
      </c>
      <c r="C129" s="15">
        <v>469</v>
      </c>
      <c r="D129" s="15">
        <f>110086-B129-C129-G129-H129-I129</f>
        <v>88737</v>
      </c>
      <c r="E129" s="15">
        <f>16805-9375</f>
        <v>7430</v>
      </c>
      <c r="F129" s="15">
        <f t="shared" si="49"/>
        <v>89731</v>
      </c>
      <c r="G129" s="15">
        <v>76</v>
      </c>
      <c r="H129" s="15">
        <v>6522</v>
      </c>
      <c r="I129" s="15">
        <v>6327</v>
      </c>
      <c r="J129" s="17">
        <v>0</v>
      </c>
      <c r="K129" s="17">
        <v>0</v>
      </c>
      <c r="L129" s="15">
        <f t="shared" si="50"/>
        <v>102656</v>
      </c>
      <c r="M129" s="15">
        <f t="shared" si="47"/>
        <v>110086</v>
      </c>
      <c r="N129" s="15">
        <v>25871</v>
      </c>
      <c r="O129" s="15">
        <v>26110</v>
      </c>
      <c r="P129" s="15">
        <f t="shared" si="51"/>
        <v>-239</v>
      </c>
      <c r="Q129" s="15">
        <f t="shared" si="52"/>
        <v>102417</v>
      </c>
    </row>
    <row r="130" spans="1:17" ht="12.75" x14ac:dyDescent="0.2">
      <c r="A130" s="20" t="s">
        <v>78</v>
      </c>
      <c r="B130" s="15">
        <v>7955</v>
      </c>
      <c r="C130" s="15">
        <v>469</v>
      </c>
      <c r="D130" s="15">
        <f>103573-B130-C130-G130-H130-I130</f>
        <v>81720</v>
      </c>
      <c r="E130" s="15">
        <f>16522-9375</f>
        <v>7147</v>
      </c>
      <c r="F130" s="15">
        <f t="shared" si="49"/>
        <v>82997</v>
      </c>
      <c r="G130" s="15">
        <v>192</v>
      </c>
      <c r="H130" s="15">
        <v>6768</v>
      </c>
      <c r="I130" s="15">
        <v>6469</v>
      </c>
      <c r="J130" s="17">
        <v>0</v>
      </c>
      <c r="K130" s="17">
        <v>0</v>
      </c>
      <c r="L130" s="15">
        <f t="shared" si="50"/>
        <v>96426</v>
      </c>
      <c r="M130" s="15">
        <f t="shared" si="47"/>
        <v>103573</v>
      </c>
      <c r="N130" s="15">
        <v>41367</v>
      </c>
      <c r="O130" s="15">
        <v>27421</v>
      </c>
      <c r="P130" s="15">
        <f t="shared" si="51"/>
        <v>13946</v>
      </c>
      <c r="Q130" s="15">
        <f t="shared" si="52"/>
        <v>110372</v>
      </c>
    </row>
    <row r="131" spans="1:17" ht="12.75" x14ac:dyDescent="0.2">
      <c r="A131" s="20" t="s">
        <v>88</v>
      </c>
      <c r="B131" s="15">
        <v>7961</v>
      </c>
      <c r="C131" s="15">
        <v>470</v>
      </c>
      <c r="D131" s="15">
        <f>97629-B131-C131-G131-H131-I131</f>
        <v>75818</v>
      </c>
      <c r="E131" s="15">
        <f>16364-9375</f>
        <v>6989</v>
      </c>
      <c r="F131" s="15">
        <f t="shared" si="49"/>
        <v>77260</v>
      </c>
      <c r="G131" s="15">
        <v>143</v>
      </c>
      <c r="H131" s="15">
        <v>6768</v>
      </c>
      <c r="I131" s="15">
        <v>6469</v>
      </c>
      <c r="J131" s="17">
        <v>0</v>
      </c>
      <c r="K131" s="17">
        <v>0</v>
      </c>
      <c r="L131" s="15">
        <f t="shared" si="50"/>
        <v>90640</v>
      </c>
      <c r="M131" s="15">
        <f t="shared" si="47"/>
        <v>97629</v>
      </c>
      <c r="N131" s="15">
        <v>40506</v>
      </c>
      <c r="O131" s="15">
        <v>20749</v>
      </c>
      <c r="P131" s="15">
        <f t="shared" si="51"/>
        <v>19757</v>
      </c>
      <c r="Q131" s="15">
        <f t="shared" si="52"/>
        <v>110397</v>
      </c>
    </row>
    <row r="132" spans="1:17" ht="12.75" x14ac:dyDescent="0.2">
      <c r="A132" s="20" t="s">
        <v>89</v>
      </c>
      <c r="B132" s="15">
        <v>8086</v>
      </c>
      <c r="C132" s="15">
        <v>656</v>
      </c>
      <c r="D132" s="15">
        <f>99065-B132-C132-G132-H132-I132</f>
        <v>76979</v>
      </c>
      <c r="E132" s="15">
        <f>15788-9375</f>
        <v>6413</v>
      </c>
      <c r="F132" s="15">
        <f t="shared" si="49"/>
        <v>79308</v>
      </c>
      <c r="G132" s="15">
        <v>107</v>
      </c>
      <c r="H132" s="15">
        <v>6768</v>
      </c>
      <c r="I132" s="15">
        <v>6469</v>
      </c>
      <c r="J132" s="17">
        <v>0</v>
      </c>
      <c r="K132" s="17">
        <v>0</v>
      </c>
      <c r="L132" s="15">
        <f t="shared" si="50"/>
        <v>92652</v>
      </c>
      <c r="M132" s="15">
        <f t="shared" si="47"/>
        <v>99065</v>
      </c>
      <c r="N132" s="15">
        <v>53802</v>
      </c>
      <c r="O132" s="15">
        <v>31005</v>
      </c>
      <c r="P132" s="15">
        <f t="shared" si="51"/>
        <v>22797</v>
      </c>
      <c r="Q132" s="15">
        <f t="shared" si="52"/>
        <v>115449</v>
      </c>
    </row>
    <row r="133" spans="1:17" ht="12.75" x14ac:dyDescent="0.2">
      <c r="A133" s="20" t="s">
        <v>79</v>
      </c>
      <c r="B133" s="15">
        <v>8109</v>
      </c>
      <c r="C133" s="15">
        <v>680</v>
      </c>
      <c r="D133" s="15">
        <f>99863-B133-C133-G133-H133-I133</f>
        <v>77571</v>
      </c>
      <c r="E133" s="15">
        <f>14043-8750</f>
        <v>5293</v>
      </c>
      <c r="F133" s="15">
        <f t="shared" si="49"/>
        <v>81067</v>
      </c>
      <c r="G133" s="15">
        <v>48</v>
      </c>
      <c r="H133" s="15">
        <v>6986</v>
      </c>
      <c r="I133" s="15">
        <v>6469</v>
      </c>
      <c r="J133" s="17">
        <v>0</v>
      </c>
      <c r="K133" s="17">
        <v>0</v>
      </c>
      <c r="L133" s="15">
        <f t="shared" si="50"/>
        <v>94570</v>
      </c>
      <c r="M133" s="15">
        <f t="shared" si="47"/>
        <v>99863</v>
      </c>
      <c r="N133" s="15">
        <v>48357</v>
      </c>
      <c r="O133" s="15">
        <v>34716</v>
      </c>
      <c r="P133" s="15">
        <f t="shared" si="51"/>
        <v>13641</v>
      </c>
      <c r="Q133" s="15">
        <f t="shared" si="52"/>
        <v>108211</v>
      </c>
    </row>
    <row r="134" spans="1:17" ht="12.75" x14ac:dyDescent="0.2">
      <c r="A134" s="20" t="s">
        <v>90</v>
      </c>
      <c r="B134" s="15">
        <v>8109</v>
      </c>
      <c r="C134" s="15">
        <v>680</v>
      </c>
      <c r="D134" s="15">
        <f>89815-B134-C134-G134-H134-I134</f>
        <v>67325</v>
      </c>
      <c r="E134" s="15">
        <f>13164-8750</f>
        <v>4414</v>
      </c>
      <c r="F134" s="15">
        <f t="shared" si="49"/>
        <v>71700</v>
      </c>
      <c r="G134" s="15">
        <v>246</v>
      </c>
      <c r="H134" s="15">
        <v>6986</v>
      </c>
      <c r="I134" s="15">
        <v>6469</v>
      </c>
      <c r="J134" s="17">
        <v>0</v>
      </c>
      <c r="K134" s="17">
        <v>0</v>
      </c>
      <c r="L134" s="15">
        <f t="shared" si="50"/>
        <v>85401</v>
      </c>
      <c r="M134" s="15">
        <f t="shared" si="47"/>
        <v>89815</v>
      </c>
      <c r="N134" s="15">
        <v>43842</v>
      </c>
      <c r="O134" s="15">
        <v>46055</v>
      </c>
      <c r="P134" s="15">
        <f t="shared" si="51"/>
        <v>-2213</v>
      </c>
      <c r="Q134" s="15">
        <f t="shared" si="52"/>
        <v>83188</v>
      </c>
    </row>
    <row r="135" spans="1:17" ht="12.75" x14ac:dyDescent="0.2">
      <c r="A135" s="20" t="s">
        <v>91</v>
      </c>
      <c r="B135" s="15">
        <v>8120</v>
      </c>
      <c r="C135" s="15">
        <v>732</v>
      </c>
      <c r="D135" s="15">
        <f>86726-B135-C135-G135-H135-I135</f>
        <v>64191</v>
      </c>
      <c r="E135" s="15">
        <f>13278-8750</f>
        <v>4528</v>
      </c>
      <c r="F135" s="15">
        <f t="shared" si="49"/>
        <v>68515</v>
      </c>
      <c r="G135" s="15">
        <v>228</v>
      </c>
      <c r="H135" s="15">
        <v>6986</v>
      </c>
      <c r="I135" s="15">
        <v>6469</v>
      </c>
      <c r="J135" s="17">
        <v>0</v>
      </c>
      <c r="K135" s="17">
        <v>0</v>
      </c>
      <c r="L135" s="15">
        <f t="shared" si="50"/>
        <v>82198</v>
      </c>
      <c r="M135" s="15">
        <f t="shared" si="47"/>
        <v>86726</v>
      </c>
      <c r="N135" s="15">
        <v>45839</v>
      </c>
      <c r="O135" s="15">
        <v>43111</v>
      </c>
      <c r="P135" s="15">
        <f t="shared" si="51"/>
        <v>2728</v>
      </c>
      <c r="Q135" s="15">
        <f t="shared" si="52"/>
        <v>84926</v>
      </c>
    </row>
    <row r="136" spans="1:17" ht="12.75" x14ac:dyDescent="0.2">
      <c r="A136" s="20" t="s">
        <v>80</v>
      </c>
      <c r="B136" s="15">
        <v>8120</v>
      </c>
      <c r="C136" s="15">
        <v>732</v>
      </c>
      <c r="D136" s="15">
        <f>80832-B136-C136-G136-H136-I136</f>
        <v>58267</v>
      </c>
      <c r="E136" s="15">
        <f>14647-8750</f>
        <v>5897</v>
      </c>
      <c r="F136" s="15">
        <f t="shared" si="49"/>
        <v>61222</v>
      </c>
      <c r="G136" s="15">
        <v>258</v>
      </c>
      <c r="H136" s="15">
        <v>6986</v>
      </c>
      <c r="I136" s="15">
        <v>6469</v>
      </c>
      <c r="J136" s="17">
        <v>0</v>
      </c>
      <c r="K136" s="17">
        <v>0</v>
      </c>
      <c r="L136" s="15">
        <f t="shared" si="50"/>
        <v>74935</v>
      </c>
      <c r="M136" s="15">
        <f t="shared" si="47"/>
        <v>80832</v>
      </c>
      <c r="N136" s="15">
        <v>40719</v>
      </c>
      <c r="O136" s="15">
        <v>52804</v>
      </c>
      <c r="P136" s="15">
        <f t="shared" si="51"/>
        <v>-12085</v>
      </c>
      <c r="Q136" s="15">
        <f t="shared" si="52"/>
        <v>62850</v>
      </c>
    </row>
    <row r="137" spans="1:17" ht="12.75" x14ac:dyDescent="0.2">
      <c r="A137" s="20" t="s">
        <v>92</v>
      </c>
      <c r="B137" s="15">
        <v>8206</v>
      </c>
      <c r="C137" s="15">
        <v>745</v>
      </c>
      <c r="D137" s="15">
        <f>76937-B137-C137-G137-H137-I137</f>
        <v>54320</v>
      </c>
      <c r="E137" s="15">
        <f>13749-8750</f>
        <v>4999</v>
      </c>
      <c r="F137" s="15">
        <f t="shared" si="49"/>
        <v>58272</v>
      </c>
      <c r="G137" s="15">
        <v>211</v>
      </c>
      <c r="H137" s="15">
        <v>6986</v>
      </c>
      <c r="I137" s="15">
        <v>6469</v>
      </c>
      <c r="J137" s="17">
        <v>0</v>
      </c>
      <c r="K137" s="17">
        <v>0</v>
      </c>
      <c r="L137" s="15">
        <f t="shared" si="50"/>
        <v>71938</v>
      </c>
      <c r="M137" s="15">
        <f t="shared" si="47"/>
        <v>76937</v>
      </c>
      <c r="N137" s="15">
        <v>41064</v>
      </c>
      <c r="O137" s="15">
        <v>58843</v>
      </c>
      <c r="P137" s="15">
        <f t="shared" si="51"/>
        <v>-17779</v>
      </c>
      <c r="Q137" s="15">
        <f t="shared" si="52"/>
        <v>54159</v>
      </c>
    </row>
    <row r="138" spans="1:17" ht="12.75" x14ac:dyDescent="0.2">
      <c r="A138" s="20" t="s">
        <v>93</v>
      </c>
      <c r="B138" s="15">
        <v>8206</v>
      </c>
      <c r="C138" s="15">
        <v>811</v>
      </c>
      <c r="D138" s="15">
        <f>96057-B138-C138-G138-H138-I138</f>
        <v>73445</v>
      </c>
      <c r="E138" s="15">
        <f>13345-8750</f>
        <v>4595</v>
      </c>
      <c r="F138" s="15">
        <f t="shared" si="49"/>
        <v>77867</v>
      </c>
      <c r="G138" s="15">
        <v>140</v>
      </c>
      <c r="H138" s="15">
        <v>6986</v>
      </c>
      <c r="I138" s="15">
        <v>6469</v>
      </c>
      <c r="J138" s="17">
        <v>0</v>
      </c>
      <c r="K138" s="17">
        <v>0</v>
      </c>
      <c r="L138" s="15">
        <f t="shared" si="50"/>
        <v>91462</v>
      </c>
      <c r="M138" s="15">
        <f t="shared" si="47"/>
        <v>96057</v>
      </c>
      <c r="N138" s="15">
        <v>25005</v>
      </c>
      <c r="O138" s="15">
        <v>57028</v>
      </c>
      <c r="P138" s="15">
        <f t="shared" si="51"/>
        <v>-32023</v>
      </c>
      <c r="Q138" s="15">
        <f t="shared" si="52"/>
        <v>59439</v>
      </c>
    </row>
    <row r="139" spans="1:17" ht="12.75" x14ac:dyDescent="0.2">
      <c r="A139" s="20" t="s">
        <v>81</v>
      </c>
      <c r="B139" s="15">
        <v>8206</v>
      </c>
      <c r="C139" s="15">
        <v>811</v>
      </c>
      <c r="D139" s="15">
        <f>77282-B139-C139-G139-H139-I139</f>
        <v>54763</v>
      </c>
      <c r="E139" s="15">
        <f>13615-8125</f>
        <v>5490</v>
      </c>
      <c r="F139" s="15">
        <f t="shared" si="49"/>
        <v>58290</v>
      </c>
      <c r="G139" s="15">
        <v>47</v>
      </c>
      <c r="H139" s="15">
        <v>6986</v>
      </c>
      <c r="I139" s="15">
        <v>6469</v>
      </c>
      <c r="J139" s="17">
        <v>0</v>
      </c>
      <c r="K139" s="17">
        <v>0</v>
      </c>
      <c r="L139" s="15">
        <f t="shared" si="50"/>
        <v>71792</v>
      </c>
      <c r="M139" s="15">
        <f t="shared" si="47"/>
        <v>77282</v>
      </c>
      <c r="N139" s="15">
        <v>46386</v>
      </c>
      <c r="O139" s="15">
        <v>67364</v>
      </c>
      <c r="P139" s="15">
        <f t="shared" si="51"/>
        <v>-20978</v>
      </c>
      <c r="Q139" s="15">
        <f t="shared" si="52"/>
        <v>50814</v>
      </c>
    </row>
    <row r="140" spans="1:17" ht="12.75" x14ac:dyDescent="0.2">
      <c r="A140" s="13" t="s">
        <v>40</v>
      </c>
      <c r="B140" s="15"/>
      <c r="C140" s="15"/>
      <c r="D140" s="15"/>
      <c r="E140" s="15"/>
      <c r="F140" s="15"/>
      <c r="G140" s="15"/>
      <c r="H140" s="15"/>
      <c r="I140" s="15"/>
      <c r="J140" s="15" t="s">
        <v>58</v>
      </c>
      <c r="K140" s="15"/>
      <c r="L140" s="15"/>
      <c r="M140" s="15"/>
      <c r="N140" s="15"/>
      <c r="O140" s="15"/>
      <c r="P140" s="15"/>
      <c r="Q140" s="15"/>
    </row>
    <row r="141" spans="1:17" ht="12.75" x14ac:dyDescent="0.2">
      <c r="A141" s="20" t="s">
        <v>86</v>
      </c>
      <c r="B141" s="15">
        <v>8006</v>
      </c>
      <c r="C141" s="15">
        <v>793</v>
      </c>
      <c r="D141" s="15">
        <v>50863</v>
      </c>
      <c r="E141" s="15">
        <f>12765-8125</f>
        <v>4640</v>
      </c>
      <c r="F141" s="15">
        <f t="shared" ref="F141:F152" si="53">B141+C141+D141-E141</f>
        <v>55022</v>
      </c>
      <c r="G141" s="15">
        <v>33</v>
      </c>
      <c r="H141" s="15">
        <v>6986</v>
      </c>
      <c r="I141" s="15">
        <v>6469</v>
      </c>
      <c r="J141" s="17">
        <v>0</v>
      </c>
      <c r="K141" s="17">
        <v>0</v>
      </c>
      <c r="L141" s="15">
        <f t="shared" ref="L141:L152" si="54">SUM(F141:K141)</f>
        <v>68510</v>
      </c>
      <c r="M141" s="15">
        <f t="shared" si="47"/>
        <v>73150</v>
      </c>
      <c r="N141" s="15">
        <v>41828</v>
      </c>
      <c r="O141" s="15">
        <v>58803</v>
      </c>
      <c r="P141" s="15">
        <f t="shared" ref="P141:P152" si="55">N141-O141</f>
        <v>-16975</v>
      </c>
      <c r="Q141" s="15">
        <f t="shared" ref="Q141:Q152" si="56">L141+P141</f>
        <v>51535</v>
      </c>
    </row>
    <row r="142" spans="1:17" ht="12.75" x14ac:dyDescent="0.2">
      <c r="A142" s="20" t="s">
        <v>87</v>
      </c>
      <c r="B142" s="15">
        <v>7946</v>
      </c>
      <c r="C142" s="15">
        <v>811</v>
      </c>
      <c r="D142" s="15">
        <v>49013</v>
      </c>
      <c r="E142" s="15">
        <f>13806-8125</f>
        <v>5681</v>
      </c>
      <c r="F142" s="15">
        <f t="shared" si="53"/>
        <v>52089</v>
      </c>
      <c r="G142" s="15">
        <v>337</v>
      </c>
      <c r="H142" s="15">
        <v>6986</v>
      </c>
      <c r="I142" s="15">
        <v>6469</v>
      </c>
      <c r="J142" s="17">
        <v>0</v>
      </c>
      <c r="K142" s="17">
        <v>0</v>
      </c>
      <c r="L142" s="15">
        <f t="shared" si="54"/>
        <v>65881</v>
      </c>
      <c r="M142" s="15">
        <f t="shared" si="47"/>
        <v>71562</v>
      </c>
      <c r="N142" s="15">
        <v>48039</v>
      </c>
      <c r="O142" s="15">
        <v>55599</v>
      </c>
      <c r="P142" s="15">
        <f t="shared" si="55"/>
        <v>-7560</v>
      </c>
      <c r="Q142" s="15">
        <f t="shared" si="56"/>
        <v>58321</v>
      </c>
    </row>
    <row r="143" spans="1:17" ht="12.75" x14ac:dyDescent="0.2">
      <c r="A143" s="20" t="s">
        <v>78</v>
      </c>
      <c r="B143" s="15">
        <v>7987</v>
      </c>
      <c r="C143" s="15">
        <v>845</v>
      </c>
      <c r="D143" s="15">
        <v>49163</v>
      </c>
      <c r="E143" s="15">
        <f>12367-8125</f>
        <v>4242</v>
      </c>
      <c r="F143" s="15">
        <f t="shared" si="53"/>
        <v>53753</v>
      </c>
      <c r="G143" s="15">
        <v>1677</v>
      </c>
      <c r="H143" s="15">
        <v>6986</v>
      </c>
      <c r="I143" s="15">
        <v>6469</v>
      </c>
      <c r="J143" s="17">
        <v>0</v>
      </c>
      <c r="K143" s="17">
        <v>0</v>
      </c>
      <c r="L143" s="15">
        <f t="shared" si="54"/>
        <v>68885</v>
      </c>
      <c r="M143" s="15">
        <f t="shared" si="47"/>
        <v>73127</v>
      </c>
      <c r="N143" s="15">
        <v>52955</v>
      </c>
      <c r="O143" s="15">
        <v>47193</v>
      </c>
      <c r="P143" s="15">
        <f t="shared" si="55"/>
        <v>5762</v>
      </c>
      <c r="Q143" s="15">
        <f t="shared" si="56"/>
        <v>74647</v>
      </c>
    </row>
    <row r="144" spans="1:17" ht="12.75" x14ac:dyDescent="0.2">
      <c r="A144" s="20" t="s">
        <v>88</v>
      </c>
      <c r="B144" s="15">
        <v>7987</v>
      </c>
      <c r="C144" s="15">
        <v>845</v>
      </c>
      <c r="D144" s="15">
        <v>49602</v>
      </c>
      <c r="E144" s="15">
        <f>13884-8125</f>
        <v>5759</v>
      </c>
      <c r="F144" s="15">
        <f t="shared" si="53"/>
        <v>52675</v>
      </c>
      <c r="G144" s="15">
        <v>582</v>
      </c>
      <c r="H144" s="15">
        <v>6986</v>
      </c>
      <c r="I144" s="15">
        <v>6469</v>
      </c>
      <c r="J144" s="17">
        <v>0</v>
      </c>
      <c r="K144" s="17">
        <v>0</v>
      </c>
      <c r="L144" s="15">
        <f t="shared" si="54"/>
        <v>66712</v>
      </c>
      <c r="M144" s="15">
        <f t="shared" si="47"/>
        <v>72471</v>
      </c>
      <c r="N144" s="15">
        <v>58192</v>
      </c>
      <c r="O144" s="15">
        <v>45841</v>
      </c>
      <c r="P144" s="15">
        <f t="shared" si="55"/>
        <v>12351</v>
      </c>
      <c r="Q144" s="15">
        <f t="shared" si="56"/>
        <v>79063</v>
      </c>
    </row>
    <row r="145" spans="1:17" ht="12.75" x14ac:dyDescent="0.2">
      <c r="A145" s="20" t="s">
        <v>89</v>
      </c>
      <c r="B145" s="15">
        <v>8172</v>
      </c>
      <c r="C145" s="15">
        <v>930</v>
      </c>
      <c r="D145" s="15">
        <v>60000</v>
      </c>
      <c r="E145" s="15">
        <f>13438-8125</f>
        <v>5313</v>
      </c>
      <c r="F145" s="15">
        <f t="shared" si="53"/>
        <v>63789</v>
      </c>
      <c r="G145" s="15">
        <v>504</v>
      </c>
      <c r="H145" s="15">
        <v>6986</v>
      </c>
      <c r="I145" s="15">
        <v>6469</v>
      </c>
      <c r="J145" s="17">
        <v>0</v>
      </c>
      <c r="K145" s="17">
        <v>0</v>
      </c>
      <c r="L145" s="15">
        <f t="shared" si="54"/>
        <v>77748</v>
      </c>
      <c r="M145" s="15">
        <f t="shared" si="47"/>
        <v>83061</v>
      </c>
      <c r="N145" s="15">
        <v>46903</v>
      </c>
      <c r="O145" s="15">
        <v>46594</v>
      </c>
      <c r="P145" s="15">
        <f t="shared" si="55"/>
        <v>309</v>
      </c>
      <c r="Q145" s="15">
        <f t="shared" si="56"/>
        <v>78057</v>
      </c>
    </row>
    <row r="146" spans="1:17" ht="12.75" x14ac:dyDescent="0.2">
      <c r="A146" s="20" t="s">
        <v>79</v>
      </c>
      <c r="B146" s="15">
        <v>8223</v>
      </c>
      <c r="C146" s="15">
        <v>936</v>
      </c>
      <c r="D146" s="15">
        <v>63975</v>
      </c>
      <c r="E146" s="15">
        <f>13875-7500</f>
        <v>6375</v>
      </c>
      <c r="F146" s="15">
        <f t="shared" si="53"/>
        <v>66759</v>
      </c>
      <c r="G146" s="15">
        <v>432</v>
      </c>
      <c r="H146" s="15">
        <v>6986</v>
      </c>
      <c r="I146" s="15">
        <v>6469</v>
      </c>
      <c r="J146" s="17">
        <v>0</v>
      </c>
      <c r="K146" s="17">
        <v>0</v>
      </c>
      <c r="L146" s="15">
        <f t="shared" si="54"/>
        <v>80646</v>
      </c>
      <c r="M146" s="15">
        <f t="shared" si="47"/>
        <v>87021</v>
      </c>
      <c r="N146" s="15">
        <v>49058</v>
      </c>
      <c r="O146" s="15">
        <v>44705</v>
      </c>
      <c r="P146" s="15">
        <f t="shared" si="55"/>
        <v>4353</v>
      </c>
      <c r="Q146" s="15">
        <f t="shared" si="56"/>
        <v>84999</v>
      </c>
    </row>
    <row r="147" spans="1:17" ht="12.75" x14ac:dyDescent="0.2">
      <c r="A147" s="20" t="s">
        <v>90</v>
      </c>
      <c r="B147" s="15">
        <v>8223</v>
      </c>
      <c r="C147" s="15">
        <v>936</v>
      </c>
      <c r="D147" s="15">
        <f>85021-C147-B147-G147-H147-I147</f>
        <v>62054</v>
      </c>
      <c r="E147" s="15">
        <f>13600-7500</f>
        <v>6100</v>
      </c>
      <c r="F147" s="15">
        <f t="shared" si="53"/>
        <v>65113</v>
      </c>
      <c r="G147" s="15">
        <v>353</v>
      </c>
      <c r="H147" s="15">
        <v>6986</v>
      </c>
      <c r="I147" s="15">
        <v>6469</v>
      </c>
      <c r="J147" s="17">
        <v>0</v>
      </c>
      <c r="K147" s="17">
        <v>0</v>
      </c>
      <c r="L147" s="15">
        <f t="shared" si="54"/>
        <v>78921</v>
      </c>
      <c r="M147" s="15">
        <f t="shared" si="47"/>
        <v>85021</v>
      </c>
      <c r="N147" s="15">
        <v>56880</v>
      </c>
      <c r="O147" s="15">
        <v>49315</v>
      </c>
      <c r="P147" s="15">
        <f t="shared" si="55"/>
        <v>7565</v>
      </c>
      <c r="Q147" s="15">
        <f t="shared" si="56"/>
        <v>86486</v>
      </c>
    </row>
    <row r="148" spans="1:17" ht="12.75" x14ac:dyDescent="0.2">
      <c r="A148" s="20" t="s">
        <v>91</v>
      </c>
      <c r="B148" s="15">
        <v>8392</v>
      </c>
      <c r="C148" s="15">
        <v>1017</v>
      </c>
      <c r="D148" s="15">
        <f>84351-C148-B148-G148-H148-I148</f>
        <v>61160</v>
      </c>
      <c r="E148" s="15">
        <f>13134-7500</f>
        <v>5634</v>
      </c>
      <c r="F148" s="15">
        <f t="shared" si="53"/>
        <v>64935</v>
      </c>
      <c r="G148" s="15">
        <v>327</v>
      </c>
      <c r="H148" s="15">
        <v>6986</v>
      </c>
      <c r="I148" s="15">
        <v>6469</v>
      </c>
      <c r="J148" s="17">
        <v>0</v>
      </c>
      <c r="K148" s="17">
        <v>0</v>
      </c>
      <c r="L148" s="15">
        <f t="shared" si="54"/>
        <v>78717</v>
      </c>
      <c r="M148" s="15">
        <f t="shared" si="47"/>
        <v>84351</v>
      </c>
      <c r="N148" s="15">
        <v>40604</v>
      </c>
      <c r="O148" s="15">
        <v>45258</v>
      </c>
      <c r="P148" s="15">
        <f t="shared" si="55"/>
        <v>-4654</v>
      </c>
      <c r="Q148" s="15">
        <f t="shared" si="56"/>
        <v>74063</v>
      </c>
    </row>
    <row r="149" spans="1:17" ht="12.75" x14ac:dyDescent="0.2">
      <c r="A149" s="20" t="s">
        <v>80</v>
      </c>
      <c r="B149" s="15">
        <v>8392</v>
      </c>
      <c r="C149" s="15">
        <v>1017</v>
      </c>
      <c r="D149" s="15">
        <f>76364-C149-B149-G149-H149-I149</f>
        <v>53363</v>
      </c>
      <c r="E149" s="15">
        <f>13485-7500</f>
        <v>5985</v>
      </c>
      <c r="F149" s="15">
        <f t="shared" si="53"/>
        <v>56787</v>
      </c>
      <c r="G149" s="15">
        <v>137</v>
      </c>
      <c r="H149" s="15">
        <v>6986</v>
      </c>
      <c r="I149" s="15">
        <v>6469</v>
      </c>
      <c r="J149" s="17">
        <v>0</v>
      </c>
      <c r="K149" s="17">
        <v>0</v>
      </c>
      <c r="L149" s="15">
        <f t="shared" si="54"/>
        <v>70379</v>
      </c>
      <c r="M149" s="15">
        <f t="shared" si="47"/>
        <v>76364</v>
      </c>
      <c r="N149" s="15">
        <v>49908</v>
      </c>
      <c r="O149" s="15">
        <v>66394</v>
      </c>
      <c r="P149" s="15">
        <f t="shared" si="55"/>
        <v>-16486</v>
      </c>
      <c r="Q149" s="15">
        <f t="shared" si="56"/>
        <v>53893</v>
      </c>
    </row>
    <row r="150" spans="1:17" ht="12.75" x14ac:dyDescent="0.2">
      <c r="A150" s="20" t="s">
        <v>92</v>
      </c>
      <c r="B150" s="15">
        <v>8375</v>
      </c>
      <c r="C150" s="15">
        <v>1014</v>
      </c>
      <c r="D150" s="15">
        <f>59300-C150-B150-G150-H150-I150</f>
        <v>36377</v>
      </c>
      <c r="E150" s="15">
        <f>13189-7500</f>
        <v>5689</v>
      </c>
      <c r="F150" s="15">
        <f t="shared" si="53"/>
        <v>40077</v>
      </c>
      <c r="G150" s="15">
        <v>79</v>
      </c>
      <c r="H150" s="15">
        <v>6986</v>
      </c>
      <c r="I150" s="15">
        <v>6469</v>
      </c>
      <c r="J150" s="17">
        <v>0</v>
      </c>
      <c r="K150" s="17">
        <v>0</v>
      </c>
      <c r="L150" s="15">
        <f t="shared" si="54"/>
        <v>53611</v>
      </c>
      <c r="M150" s="15">
        <f t="shared" si="47"/>
        <v>59300</v>
      </c>
      <c r="N150" s="15">
        <v>49521</v>
      </c>
      <c r="O150" s="15">
        <v>64311</v>
      </c>
      <c r="P150" s="15">
        <f t="shared" si="55"/>
        <v>-14790</v>
      </c>
      <c r="Q150" s="15">
        <f t="shared" si="56"/>
        <v>38821</v>
      </c>
    </row>
    <row r="151" spans="1:17" ht="12.75" x14ac:dyDescent="0.2">
      <c r="A151" s="20" t="s">
        <v>93</v>
      </c>
      <c r="B151" s="15">
        <v>8375</v>
      </c>
      <c r="C151" s="15">
        <v>1082</v>
      </c>
      <c r="D151" s="15">
        <f>63925-C151-B151-G151-H151-I151</f>
        <v>40625</v>
      </c>
      <c r="E151" s="15">
        <f>12756-7500</f>
        <v>5256</v>
      </c>
      <c r="F151" s="15">
        <f t="shared" si="53"/>
        <v>44826</v>
      </c>
      <c r="G151" s="15">
        <v>388</v>
      </c>
      <c r="H151" s="15">
        <v>6986</v>
      </c>
      <c r="I151" s="15">
        <v>6469</v>
      </c>
      <c r="J151" s="17">
        <v>0</v>
      </c>
      <c r="K151" s="17">
        <v>0</v>
      </c>
      <c r="L151" s="15">
        <f t="shared" si="54"/>
        <v>58669</v>
      </c>
      <c r="M151" s="15">
        <f t="shared" si="47"/>
        <v>63925</v>
      </c>
      <c r="N151" s="15">
        <v>49949</v>
      </c>
      <c r="O151" s="15">
        <v>67572</v>
      </c>
      <c r="P151" s="15">
        <f t="shared" si="55"/>
        <v>-17623</v>
      </c>
      <c r="Q151" s="15">
        <f t="shared" si="56"/>
        <v>41046</v>
      </c>
    </row>
    <row r="152" spans="1:17" ht="12.75" x14ac:dyDescent="0.2">
      <c r="A152" s="20" t="s">
        <v>81</v>
      </c>
      <c r="B152" s="15">
        <v>8588</v>
      </c>
      <c r="C152" s="15">
        <v>1107</v>
      </c>
      <c r="D152" s="15">
        <f>68663-C152-B152-G152-H152-I152</f>
        <v>45133</v>
      </c>
      <c r="E152" s="15">
        <f>12413-6875</f>
        <v>5538</v>
      </c>
      <c r="F152" s="15">
        <f t="shared" si="53"/>
        <v>49290</v>
      </c>
      <c r="G152" s="15">
        <v>380</v>
      </c>
      <c r="H152" s="15">
        <v>6986</v>
      </c>
      <c r="I152" s="15">
        <v>6469</v>
      </c>
      <c r="J152" s="17">
        <v>0</v>
      </c>
      <c r="K152" s="17">
        <v>0</v>
      </c>
      <c r="L152" s="15">
        <f t="shared" si="54"/>
        <v>63125</v>
      </c>
      <c r="M152" s="15">
        <f t="shared" si="47"/>
        <v>68663</v>
      </c>
      <c r="N152" s="15">
        <v>47538</v>
      </c>
      <c r="O152" s="15">
        <v>71670</v>
      </c>
      <c r="P152" s="15">
        <f t="shared" si="55"/>
        <v>-24132</v>
      </c>
      <c r="Q152" s="15">
        <f t="shared" si="56"/>
        <v>38993</v>
      </c>
    </row>
    <row r="153" spans="1:17" ht="12.75" x14ac:dyDescent="0.2">
      <c r="A153" s="13" t="s">
        <v>41</v>
      </c>
      <c r="B153" s="15"/>
      <c r="C153" s="15"/>
      <c r="D153" s="15"/>
      <c r="E153" s="15"/>
      <c r="F153" s="15"/>
      <c r="G153" s="15"/>
      <c r="H153" s="15"/>
      <c r="I153" s="15"/>
      <c r="J153" s="15" t="s">
        <v>58</v>
      </c>
      <c r="K153" s="15"/>
      <c r="L153" s="15"/>
      <c r="M153" s="15"/>
      <c r="N153" s="15"/>
      <c r="O153" s="15"/>
      <c r="P153" s="15"/>
      <c r="Q153" s="15"/>
    </row>
    <row r="154" spans="1:17" ht="12.75" x14ac:dyDescent="0.2">
      <c r="A154" s="20" t="s">
        <v>86</v>
      </c>
      <c r="B154" s="15">
        <v>8446</v>
      </c>
      <c r="C154" s="15">
        <v>1089</v>
      </c>
      <c r="D154" s="15">
        <f>61655-C154-B154-G154-H154-I154</f>
        <v>38482</v>
      </c>
      <c r="E154" s="15">
        <f>11898-6875</f>
        <v>5023</v>
      </c>
      <c r="F154" s="15">
        <f t="shared" ref="F154:F165" si="57">B154+C154+D154-E154</f>
        <v>42994</v>
      </c>
      <c r="G154" s="15">
        <v>183</v>
      </c>
      <c r="H154" s="15">
        <v>6986</v>
      </c>
      <c r="I154" s="15">
        <v>6469</v>
      </c>
      <c r="J154" s="17">
        <v>0</v>
      </c>
      <c r="K154" s="17">
        <v>0</v>
      </c>
      <c r="L154" s="15">
        <f t="shared" ref="L154:L165" si="58">SUM(F154:K154)</f>
        <v>56632</v>
      </c>
      <c r="M154" s="15">
        <f t="shared" si="47"/>
        <v>61655</v>
      </c>
      <c r="N154" s="15">
        <v>42835</v>
      </c>
      <c r="O154" s="15">
        <v>66068</v>
      </c>
      <c r="P154" s="15">
        <f t="shared" ref="P154:P165" si="59">N154-O154</f>
        <v>-23233</v>
      </c>
      <c r="Q154" s="15">
        <f t="shared" ref="Q154:Q165" si="60">L154+P154</f>
        <v>33399</v>
      </c>
    </row>
    <row r="155" spans="1:17" ht="12.75" x14ac:dyDescent="0.2">
      <c r="A155" s="20" t="s">
        <v>87</v>
      </c>
      <c r="B155" s="15">
        <v>8446</v>
      </c>
      <c r="C155" s="15">
        <v>1162</v>
      </c>
      <c r="D155" s="15">
        <f>55036-C155-B155-G155-H155-I155</f>
        <v>31160</v>
      </c>
      <c r="E155" s="15">
        <f>11493-6875</f>
        <v>4618</v>
      </c>
      <c r="F155" s="15">
        <f t="shared" si="57"/>
        <v>36150</v>
      </c>
      <c r="G155" s="15">
        <v>813</v>
      </c>
      <c r="H155" s="15">
        <v>6986</v>
      </c>
      <c r="I155" s="15">
        <v>6469</v>
      </c>
      <c r="J155" s="17">
        <v>0</v>
      </c>
      <c r="K155" s="17">
        <v>0</v>
      </c>
      <c r="L155" s="15">
        <f t="shared" si="58"/>
        <v>50418</v>
      </c>
      <c r="M155" s="15">
        <f t="shared" si="47"/>
        <v>55036</v>
      </c>
      <c r="N155" s="15">
        <v>46081</v>
      </c>
      <c r="O155" s="15">
        <v>52024</v>
      </c>
      <c r="P155" s="15">
        <f t="shared" si="59"/>
        <v>-5943</v>
      </c>
      <c r="Q155" s="15">
        <f t="shared" si="60"/>
        <v>44475</v>
      </c>
    </row>
    <row r="156" spans="1:17" ht="12.75" x14ac:dyDescent="0.2">
      <c r="A156" s="20" t="s">
        <v>78</v>
      </c>
      <c r="B156" s="15">
        <v>8446</v>
      </c>
      <c r="C156" s="15">
        <v>1162</v>
      </c>
      <c r="D156" s="15">
        <f>54711-C156-B156-G156-H156-I156</f>
        <v>30088</v>
      </c>
      <c r="E156" s="15">
        <f>12425-6875</f>
        <v>5550</v>
      </c>
      <c r="F156" s="15">
        <f t="shared" si="57"/>
        <v>34146</v>
      </c>
      <c r="G156" s="15">
        <v>1560</v>
      </c>
      <c r="H156" s="15">
        <v>6986</v>
      </c>
      <c r="I156" s="15">
        <v>6469</v>
      </c>
      <c r="J156" s="17">
        <v>0</v>
      </c>
      <c r="K156" s="17">
        <v>0</v>
      </c>
      <c r="L156" s="15">
        <f t="shared" si="58"/>
        <v>49161</v>
      </c>
      <c r="M156" s="15">
        <f t="shared" si="47"/>
        <v>54711</v>
      </c>
      <c r="N156" s="15">
        <v>50734</v>
      </c>
      <c r="O156" s="15">
        <v>35928</v>
      </c>
      <c r="P156" s="15">
        <f t="shared" si="59"/>
        <v>14806</v>
      </c>
      <c r="Q156" s="15">
        <f t="shared" si="60"/>
        <v>63967</v>
      </c>
    </row>
    <row r="157" spans="1:17" ht="12.75" x14ac:dyDescent="0.2">
      <c r="A157" s="20" t="s">
        <v>88</v>
      </c>
      <c r="B157" s="15">
        <v>8645</v>
      </c>
      <c r="C157" s="15">
        <v>1189</v>
      </c>
      <c r="D157" s="15">
        <f>52259-C157-B157-G157-H157-I157</f>
        <v>28262</v>
      </c>
      <c r="E157" s="15">
        <f>12115-6875</f>
        <v>5240</v>
      </c>
      <c r="F157" s="15">
        <f t="shared" si="57"/>
        <v>32856</v>
      </c>
      <c r="G157" s="15">
        <v>708</v>
      </c>
      <c r="H157" s="15">
        <v>6986</v>
      </c>
      <c r="I157" s="15">
        <v>6469</v>
      </c>
      <c r="J157" s="17">
        <v>0</v>
      </c>
      <c r="K157" s="17">
        <v>0</v>
      </c>
      <c r="L157" s="15">
        <f t="shared" si="58"/>
        <v>47019</v>
      </c>
      <c r="M157" s="15">
        <f t="shared" si="47"/>
        <v>52259</v>
      </c>
      <c r="N157" s="15">
        <v>51108</v>
      </c>
      <c r="O157" s="15">
        <v>35199</v>
      </c>
      <c r="P157" s="15">
        <f t="shared" si="59"/>
        <v>15909</v>
      </c>
      <c r="Q157" s="15">
        <f t="shared" si="60"/>
        <v>62928</v>
      </c>
    </row>
    <row r="158" spans="1:17" ht="12.75" x14ac:dyDescent="0.2">
      <c r="A158" s="20" t="s">
        <v>89</v>
      </c>
      <c r="B158" s="15">
        <v>8718</v>
      </c>
      <c r="C158" s="15">
        <v>1278</v>
      </c>
      <c r="D158" s="15">
        <f>62403-C158-B158-G158-H158-I158</f>
        <v>38311</v>
      </c>
      <c r="E158" s="15">
        <f>11232-6875</f>
        <v>4357</v>
      </c>
      <c r="F158" s="15">
        <f t="shared" si="57"/>
        <v>43950</v>
      </c>
      <c r="G158" s="15">
        <v>641</v>
      </c>
      <c r="H158" s="15">
        <v>6986</v>
      </c>
      <c r="I158" s="15">
        <v>6469</v>
      </c>
      <c r="J158" s="17">
        <v>0</v>
      </c>
      <c r="K158" s="17">
        <v>0</v>
      </c>
      <c r="L158" s="15">
        <f t="shared" si="58"/>
        <v>58046</v>
      </c>
      <c r="M158" s="15">
        <f t="shared" si="47"/>
        <v>62403</v>
      </c>
      <c r="N158" s="15">
        <v>52478</v>
      </c>
      <c r="O158" s="15">
        <v>38905</v>
      </c>
      <c r="P158" s="15">
        <f t="shared" si="59"/>
        <v>13573</v>
      </c>
      <c r="Q158" s="15">
        <f t="shared" si="60"/>
        <v>71619</v>
      </c>
    </row>
    <row r="159" spans="1:17" ht="12.75" x14ac:dyDescent="0.2">
      <c r="A159" s="20" t="s">
        <v>79</v>
      </c>
      <c r="B159" s="15">
        <v>8718</v>
      </c>
      <c r="C159" s="15">
        <v>1278</v>
      </c>
      <c r="D159" s="15">
        <f>60622-C159-B159-G159-H159-I159</f>
        <v>36570</v>
      </c>
      <c r="E159" s="15">
        <f>10126-6250</f>
        <v>3876</v>
      </c>
      <c r="F159" s="15">
        <f t="shared" si="57"/>
        <v>42690</v>
      </c>
      <c r="G159" s="15">
        <v>601</v>
      </c>
      <c r="H159" s="15">
        <v>6986</v>
      </c>
      <c r="I159" s="15">
        <v>6469</v>
      </c>
      <c r="J159" s="17">
        <v>0</v>
      </c>
      <c r="K159" s="17">
        <v>0</v>
      </c>
      <c r="L159" s="15">
        <f t="shared" si="58"/>
        <v>56746</v>
      </c>
      <c r="M159" s="15">
        <f t="shared" si="47"/>
        <v>60622</v>
      </c>
      <c r="N159" s="15">
        <v>48835</v>
      </c>
      <c r="O159" s="15">
        <v>32658</v>
      </c>
      <c r="P159" s="15">
        <f t="shared" si="59"/>
        <v>16177</v>
      </c>
      <c r="Q159" s="15">
        <f t="shared" si="60"/>
        <v>72923</v>
      </c>
    </row>
    <row r="160" spans="1:17" ht="12.75" x14ac:dyDescent="0.2">
      <c r="A160" s="20" t="s">
        <v>90</v>
      </c>
      <c r="B160" s="15">
        <v>9117</v>
      </c>
      <c r="C160" s="15">
        <v>1333</v>
      </c>
      <c r="D160" s="15">
        <f>74205-C160-B160-G160-H160-I160</f>
        <v>49988</v>
      </c>
      <c r="E160" s="15">
        <f>11316-6250</f>
        <v>5066</v>
      </c>
      <c r="F160" s="15">
        <f t="shared" si="57"/>
        <v>55372</v>
      </c>
      <c r="G160" s="15">
        <v>312</v>
      </c>
      <c r="H160" s="15">
        <v>6986</v>
      </c>
      <c r="I160" s="15">
        <v>6469</v>
      </c>
      <c r="J160" s="17">
        <v>0</v>
      </c>
      <c r="K160" s="17">
        <v>0</v>
      </c>
      <c r="L160" s="15">
        <f t="shared" si="58"/>
        <v>69139</v>
      </c>
      <c r="M160" s="15">
        <f t="shared" si="47"/>
        <v>74205</v>
      </c>
      <c r="N160" s="15">
        <v>47807</v>
      </c>
      <c r="O160" s="15">
        <v>29163</v>
      </c>
      <c r="P160" s="15">
        <f t="shared" si="59"/>
        <v>18644</v>
      </c>
      <c r="Q160" s="15">
        <f t="shared" si="60"/>
        <v>87783</v>
      </c>
    </row>
    <row r="161" spans="1:17" ht="12.75" x14ac:dyDescent="0.2">
      <c r="A161" s="20" t="s">
        <v>91</v>
      </c>
      <c r="B161" s="15">
        <v>9022</v>
      </c>
      <c r="C161" s="15">
        <v>1395</v>
      </c>
      <c r="D161" s="15">
        <f>69725-C161-B161-G161-H161-I161</f>
        <v>45457</v>
      </c>
      <c r="E161" s="15">
        <f>11137-6250</f>
        <v>4887</v>
      </c>
      <c r="F161" s="15">
        <f t="shared" si="57"/>
        <v>50987</v>
      </c>
      <c r="G161" s="15">
        <v>396</v>
      </c>
      <c r="H161" s="15">
        <v>6986</v>
      </c>
      <c r="I161" s="15">
        <v>6469</v>
      </c>
      <c r="J161" s="17">
        <v>0</v>
      </c>
      <c r="K161" s="17">
        <v>0</v>
      </c>
      <c r="L161" s="15">
        <f t="shared" si="58"/>
        <v>64838</v>
      </c>
      <c r="M161" s="15">
        <f t="shared" si="47"/>
        <v>69725</v>
      </c>
      <c r="N161" s="15">
        <v>46515</v>
      </c>
      <c r="O161" s="15">
        <v>29090</v>
      </c>
      <c r="P161" s="15">
        <f t="shared" si="59"/>
        <v>17425</v>
      </c>
      <c r="Q161" s="15">
        <f t="shared" si="60"/>
        <v>82263</v>
      </c>
    </row>
    <row r="162" spans="1:17" ht="12.75" x14ac:dyDescent="0.2">
      <c r="A162" s="20" t="s">
        <v>80</v>
      </c>
      <c r="B162" s="15">
        <v>9022</v>
      </c>
      <c r="C162" s="15">
        <v>1395</v>
      </c>
      <c r="D162" s="15">
        <f>71104-C162-B162-G162-H162-I162</f>
        <v>46842</v>
      </c>
      <c r="E162" s="15">
        <f>11710-6250</f>
        <v>5460</v>
      </c>
      <c r="F162" s="15">
        <f t="shared" si="57"/>
        <v>51799</v>
      </c>
      <c r="G162" s="15">
        <v>390</v>
      </c>
      <c r="H162" s="15">
        <v>6986</v>
      </c>
      <c r="I162" s="15">
        <v>6469</v>
      </c>
      <c r="J162" s="17">
        <v>0</v>
      </c>
      <c r="K162" s="17">
        <v>0</v>
      </c>
      <c r="L162" s="15">
        <f t="shared" si="58"/>
        <v>65644</v>
      </c>
      <c r="M162" s="15">
        <f t="shared" si="47"/>
        <v>71104</v>
      </c>
      <c r="N162" s="15">
        <v>50649</v>
      </c>
      <c r="O162" s="15">
        <v>20974</v>
      </c>
      <c r="P162" s="15">
        <f t="shared" si="59"/>
        <v>29675</v>
      </c>
      <c r="Q162" s="15">
        <f t="shared" si="60"/>
        <v>95319</v>
      </c>
    </row>
    <row r="163" spans="1:17" ht="12.75" x14ac:dyDescent="0.2">
      <c r="A163" s="20" t="s">
        <v>92</v>
      </c>
      <c r="B163" s="15">
        <v>8634</v>
      </c>
      <c r="C163" s="15">
        <v>1336</v>
      </c>
      <c r="D163" s="15">
        <f>67727-C163-B163-G163-H163-I163</f>
        <v>43938</v>
      </c>
      <c r="E163" s="15">
        <f>12355-6250</f>
        <v>6105</v>
      </c>
      <c r="F163" s="15">
        <f t="shared" si="57"/>
        <v>47803</v>
      </c>
      <c r="G163" s="15">
        <v>364</v>
      </c>
      <c r="H163" s="15">
        <v>6986</v>
      </c>
      <c r="I163" s="15">
        <v>6469</v>
      </c>
      <c r="J163" s="17">
        <v>0</v>
      </c>
      <c r="K163" s="17">
        <v>0</v>
      </c>
      <c r="L163" s="15">
        <f t="shared" si="58"/>
        <v>61622</v>
      </c>
      <c r="M163" s="15">
        <f t="shared" si="47"/>
        <v>67727</v>
      </c>
      <c r="N163" s="15">
        <v>52786</v>
      </c>
      <c r="O163" s="15">
        <v>22509</v>
      </c>
      <c r="P163" s="15">
        <f t="shared" si="59"/>
        <v>30277</v>
      </c>
      <c r="Q163" s="15">
        <f t="shared" si="60"/>
        <v>91899</v>
      </c>
    </row>
    <row r="164" spans="1:17" ht="12.75" x14ac:dyDescent="0.2">
      <c r="A164" s="20" t="s">
        <v>93</v>
      </c>
      <c r="B164" s="15">
        <v>8714</v>
      </c>
      <c r="C164" s="15">
        <v>1408</v>
      </c>
      <c r="D164" s="15">
        <f>77849-C164-B164-G164-H164-I164</f>
        <v>53922</v>
      </c>
      <c r="E164" s="15">
        <f>11966-6250</f>
        <v>5716</v>
      </c>
      <c r="F164" s="15">
        <f t="shared" si="57"/>
        <v>58328</v>
      </c>
      <c r="G164" s="15">
        <v>350</v>
      </c>
      <c r="H164" s="15">
        <v>6986</v>
      </c>
      <c r="I164" s="15">
        <v>6469</v>
      </c>
      <c r="J164" s="17">
        <v>0</v>
      </c>
      <c r="K164" s="17">
        <v>0</v>
      </c>
      <c r="L164" s="15">
        <f t="shared" si="58"/>
        <v>72133</v>
      </c>
      <c r="M164" s="15">
        <f t="shared" si="47"/>
        <v>77849</v>
      </c>
      <c r="N164" s="15">
        <v>52866</v>
      </c>
      <c r="O164" s="15">
        <v>24092</v>
      </c>
      <c r="P164" s="15">
        <f t="shared" si="59"/>
        <v>28774</v>
      </c>
      <c r="Q164" s="15">
        <f t="shared" si="60"/>
        <v>100907</v>
      </c>
    </row>
    <row r="165" spans="1:17" ht="12.75" x14ac:dyDescent="0.2">
      <c r="A165" s="20" t="s">
        <v>81</v>
      </c>
      <c r="B165" s="15">
        <v>8646</v>
      </c>
      <c r="C165" s="15">
        <v>1397</v>
      </c>
      <c r="D165" s="15">
        <f>74867-C165-B165-G165-H165-I165</f>
        <v>51078</v>
      </c>
      <c r="E165" s="15">
        <f>10622-5625</f>
        <v>4997</v>
      </c>
      <c r="F165" s="15">
        <f t="shared" si="57"/>
        <v>56124</v>
      </c>
      <c r="G165" s="15">
        <v>291</v>
      </c>
      <c r="H165" s="15">
        <v>6986</v>
      </c>
      <c r="I165" s="15">
        <v>6469</v>
      </c>
      <c r="J165" s="17">
        <v>0</v>
      </c>
      <c r="K165" s="17">
        <v>0</v>
      </c>
      <c r="L165" s="15">
        <f t="shared" si="58"/>
        <v>69870</v>
      </c>
      <c r="M165" s="15">
        <f t="shared" si="47"/>
        <v>74867</v>
      </c>
      <c r="N165" s="15">
        <v>50892</v>
      </c>
      <c r="O165" s="15">
        <v>28895</v>
      </c>
      <c r="P165" s="15">
        <f t="shared" si="59"/>
        <v>21997</v>
      </c>
      <c r="Q165" s="15">
        <f t="shared" si="60"/>
        <v>91867</v>
      </c>
    </row>
    <row r="166" spans="1:17" ht="15.75" customHeight="1" x14ac:dyDescent="0.2">
      <c r="A166" s="13" t="s">
        <v>42</v>
      </c>
      <c r="B166" s="14"/>
      <c r="C166" s="14"/>
      <c r="D166" s="14"/>
      <c r="E166" s="14"/>
      <c r="F166" s="14"/>
      <c r="G166" s="14"/>
      <c r="H166" s="14"/>
      <c r="I166" s="14"/>
      <c r="J166" s="14"/>
      <c r="K166" s="14"/>
      <c r="L166" s="14"/>
      <c r="M166" s="14"/>
      <c r="N166" s="14"/>
      <c r="O166" s="14"/>
      <c r="P166" s="14"/>
      <c r="Q166" s="14"/>
    </row>
    <row r="167" spans="1:17" ht="12.75" x14ac:dyDescent="0.2">
      <c r="A167" s="20" t="s">
        <v>86</v>
      </c>
      <c r="B167" s="15">
        <v>8646</v>
      </c>
      <c r="C167" s="15">
        <v>1397</v>
      </c>
      <c r="D167" s="15">
        <v>51607</v>
      </c>
      <c r="E167" s="15">
        <v>5674</v>
      </c>
      <c r="F167" s="15">
        <f t="shared" ref="F167:F178" si="61">B167+C167+D167-E167</f>
        <v>55976</v>
      </c>
      <c r="G167" s="15">
        <v>213</v>
      </c>
      <c r="H167" s="15">
        <v>6986</v>
      </c>
      <c r="I167" s="15">
        <v>6469</v>
      </c>
      <c r="J167" s="17">
        <v>0</v>
      </c>
      <c r="K167" s="17">
        <v>0</v>
      </c>
      <c r="L167" s="15">
        <f t="shared" ref="L167:L178" si="62">SUM(F167:K167)</f>
        <v>69644</v>
      </c>
      <c r="M167" s="15">
        <f>B167+C167+D167+G167+H167+I167+J167+K167</f>
        <v>75318</v>
      </c>
      <c r="N167" s="15">
        <v>51512</v>
      </c>
      <c r="O167" s="15">
        <v>29919</v>
      </c>
      <c r="P167" s="15">
        <f t="shared" ref="P167:P178" si="63">N167-O167</f>
        <v>21593</v>
      </c>
      <c r="Q167" s="15">
        <f>L167+P167</f>
        <v>91237</v>
      </c>
    </row>
    <row r="168" spans="1:17" ht="12.75" x14ac:dyDescent="0.2">
      <c r="A168" s="20" t="s">
        <v>87</v>
      </c>
      <c r="B168" s="15">
        <v>8605</v>
      </c>
      <c r="C168" s="15">
        <v>1527</v>
      </c>
      <c r="D168" s="15">
        <v>58195</v>
      </c>
      <c r="E168" s="15">
        <v>6163</v>
      </c>
      <c r="F168" s="15">
        <f t="shared" si="61"/>
        <v>62164</v>
      </c>
      <c r="G168" s="15">
        <v>206</v>
      </c>
      <c r="H168" s="15">
        <v>6986</v>
      </c>
      <c r="I168" s="15">
        <v>6469</v>
      </c>
      <c r="J168" s="17">
        <v>0</v>
      </c>
      <c r="K168" s="17">
        <v>0</v>
      </c>
      <c r="L168" s="15">
        <f t="shared" si="62"/>
        <v>75825</v>
      </c>
      <c r="M168" s="15">
        <f t="shared" ref="M168:M217" si="64">B168+C168+D168+G168+H168+I168+J168+K168</f>
        <v>81988</v>
      </c>
      <c r="N168" s="15">
        <v>44005</v>
      </c>
      <c r="O168" s="15">
        <v>30321</v>
      </c>
      <c r="P168" s="15">
        <f t="shared" si="63"/>
        <v>13684</v>
      </c>
      <c r="Q168" s="15">
        <f t="shared" ref="Q168:Q178" si="65">L168+P168</f>
        <v>89509</v>
      </c>
    </row>
    <row r="169" spans="1:17" ht="12.75" x14ac:dyDescent="0.2">
      <c r="A169" s="20" t="s">
        <v>78</v>
      </c>
      <c r="B169" s="15">
        <v>8497</v>
      </c>
      <c r="C169" s="15">
        <v>1588</v>
      </c>
      <c r="D169" s="15">
        <v>53159</v>
      </c>
      <c r="E169" s="15">
        <v>4223</v>
      </c>
      <c r="F169" s="15">
        <f t="shared" si="61"/>
        <v>59021</v>
      </c>
      <c r="G169" s="15">
        <v>178</v>
      </c>
      <c r="H169" s="15">
        <v>6986</v>
      </c>
      <c r="I169" s="15">
        <v>6469</v>
      </c>
      <c r="J169" s="17">
        <v>0</v>
      </c>
      <c r="K169" s="17">
        <v>0</v>
      </c>
      <c r="L169" s="15">
        <f t="shared" si="62"/>
        <v>72654</v>
      </c>
      <c r="M169" s="15">
        <f t="shared" si="64"/>
        <v>76877</v>
      </c>
      <c r="N169" s="15">
        <v>73169</v>
      </c>
      <c r="O169" s="15">
        <v>31946</v>
      </c>
      <c r="P169" s="15">
        <f t="shared" si="63"/>
        <v>41223</v>
      </c>
      <c r="Q169" s="15">
        <f t="shared" si="65"/>
        <v>113877</v>
      </c>
    </row>
    <row r="170" spans="1:17" ht="12.75" x14ac:dyDescent="0.2">
      <c r="A170" s="20" t="s">
        <v>88</v>
      </c>
      <c r="B170" s="15">
        <v>8497</v>
      </c>
      <c r="C170" s="15">
        <v>1588</v>
      </c>
      <c r="D170" s="15">
        <v>55744</v>
      </c>
      <c r="E170" s="15">
        <v>4469</v>
      </c>
      <c r="F170" s="15">
        <f t="shared" si="61"/>
        <v>61360</v>
      </c>
      <c r="G170" s="15">
        <v>276</v>
      </c>
      <c r="H170" s="15">
        <v>6986</v>
      </c>
      <c r="I170" s="15">
        <v>6469</v>
      </c>
      <c r="J170" s="17">
        <v>0</v>
      </c>
      <c r="K170" s="17">
        <v>0</v>
      </c>
      <c r="L170" s="15">
        <f t="shared" si="62"/>
        <v>75091</v>
      </c>
      <c r="M170" s="15">
        <f t="shared" si="64"/>
        <v>79560</v>
      </c>
      <c r="N170" s="15">
        <v>74687</v>
      </c>
      <c r="O170" s="15">
        <v>39230</v>
      </c>
      <c r="P170" s="15">
        <f t="shared" si="63"/>
        <v>35457</v>
      </c>
      <c r="Q170" s="15">
        <f t="shared" si="65"/>
        <v>110548</v>
      </c>
    </row>
    <row r="171" spans="1:17" ht="12.75" x14ac:dyDescent="0.2">
      <c r="A171" s="20" t="s">
        <v>89</v>
      </c>
      <c r="B171" s="15">
        <v>8453</v>
      </c>
      <c r="C171" s="15">
        <v>1642</v>
      </c>
      <c r="D171" s="15">
        <v>59344</v>
      </c>
      <c r="E171" s="15">
        <v>3154</v>
      </c>
      <c r="F171" s="15">
        <f t="shared" si="61"/>
        <v>66285</v>
      </c>
      <c r="G171" s="15">
        <v>274</v>
      </c>
      <c r="H171" s="15">
        <v>6986</v>
      </c>
      <c r="I171" s="15">
        <v>6469</v>
      </c>
      <c r="J171" s="17">
        <v>0</v>
      </c>
      <c r="K171" s="17">
        <v>0</v>
      </c>
      <c r="L171" s="15">
        <f t="shared" si="62"/>
        <v>80014</v>
      </c>
      <c r="M171" s="15">
        <f t="shared" si="64"/>
        <v>83168</v>
      </c>
      <c r="N171" s="15">
        <v>70483</v>
      </c>
      <c r="O171" s="15">
        <v>40751</v>
      </c>
      <c r="P171" s="15">
        <f t="shared" si="63"/>
        <v>29732</v>
      </c>
      <c r="Q171" s="15">
        <f t="shared" si="65"/>
        <v>109746</v>
      </c>
    </row>
    <row r="172" spans="1:17" ht="12.75" x14ac:dyDescent="0.2">
      <c r="A172" s="20" t="s">
        <v>79</v>
      </c>
      <c r="B172" s="15">
        <v>8389</v>
      </c>
      <c r="C172" s="15">
        <v>1630</v>
      </c>
      <c r="D172" s="15">
        <v>54954</v>
      </c>
      <c r="E172" s="15">
        <v>4308</v>
      </c>
      <c r="F172" s="15">
        <f t="shared" si="61"/>
        <v>60665</v>
      </c>
      <c r="G172" s="15">
        <v>254</v>
      </c>
      <c r="H172" s="15">
        <v>6986</v>
      </c>
      <c r="I172" s="15">
        <v>6469</v>
      </c>
      <c r="J172" s="17">
        <v>0</v>
      </c>
      <c r="K172" s="17">
        <v>0</v>
      </c>
      <c r="L172" s="15">
        <f t="shared" si="62"/>
        <v>74374</v>
      </c>
      <c r="M172" s="15">
        <f t="shared" si="64"/>
        <v>78682</v>
      </c>
      <c r="N172" s="15">
        <v>66747</v>
      </c>
      <c r="O172" s="15">
        <v>40006</v>
      </c>
      <c r="P172" s="15">
        <f t="shared" si="63"/>
        <v>26741</v>
      </c>
      <c r="Q172" s="15">
        <f t="shared" si="65"/>
        <v>101115</v>
      </c>
    </row>
    <row r="173" spans="1:17" ht="12.75" x14ac:dyDescent="0.2">
      <c r="A173" s="20" t="s">
        <v>90</v>
      </c>
      <c r="B173" s="15">
        <v>8343</v>
      </c>
      <c r="C173" s="15">
        <v>1622</v>
      </c>
      <c r="D173" s="15">
        <v>123205</v>
      </c>
      <c r="E173" s="15">
        <v>3992</v>
      </c>
      <c r="F173" s="15">
        <f t="shared" si="61"/>
        <v>129178</v>
      </c>
      <c r="G173" s="15">
        <v>211</v>
      </c>
      <c r="H173" s="15">
        <v>6986</v>
      </c>
      <c r="I173" s="15">
        <v>6469</v>
      </c>
      <c r="J173" s="17">
        <v>0</v>
      </c>
      <c r="K173" s="17">
        <v>0</v>
      </c>
      <c r="L173" s="15">
        <f t="shared" si="62"/>
        <v>142844</v>
      </c>
      <c r="M173" s="15">
        <f t="shared" si="64"/>
        <v>146836</v>
      </c>
      <c r="N173" s="15">
        <v>53903</v>
      </c>
      <c r="O173" s="15">
        <v>40076</v>
      </c>
      <c r="P173" s="15">
        <f t="shared" si="63"/>
        <v>13827</v>
      </c>
      <c r="Q173" s="15">
        <f t="shared" si="65"/>
        <v>156671</v>
      </c>
    </row>
    <row r="174" spans="1:17" ht="12.75" x14ac:dyDescent="0.2">
      <c r="A174" s="20" t="s">
        <v>91</v>
      </c>
      <c r="B174" s="15">
        <v>8478</v>
      </c>
      <c r="C174" s="15">
        <v>1648</v>
      </c>
      <c r="D174" s="15">
        <v>135122</v>
      </c>
      <c r="E174" s="15">
        <v>3037</v>
      </c>
      <c r="F174" s="15">
        <f t="shared" si="61"/>
        <v>142211</v>
      </c>
      <c r="G174" s="15">
        <v>208</v>
      </c>
      <c r="H174" s="15">
        <v>6986</v>
      </c>
      <c r="I174" s="15">
        <v>6469</v>
      </c>
      <c r="J174" s="17">
        <v>0</v>
      </c>
      <c r="K174" s="17">
        <v>0</v>
      </c>
      <c r="L174" s="15">
        <f t="shared" si="62"/>
        <v>155874</v>
      </c>
      <c r="M174" s="15">
        <f t="shared" si="64"/>
        <v>158911</v>
      </c>
      <c r="N174" s="15">
        <v>59043</v>
      </c>
      <c r="O174" s="15">
        <v>37662</v>
      </c>
      <c r="P174" s="15">
        <f t="shared" si="63"/>
        <v>21381</v>
      </c>
      <c r="Q174" s="15">
        <f t="shared" si="65"/>
        <v>177255</v>
      </c>
    </row>
    <row r="175" spans="1:17" ht="12.75" x14ac:dyDescent="0.2">
      <c r="A175" s="20" t="s">
        <v>80</v>
      </c>
      <c r="B175" s="15">
        <v>8478</v>
      </c>
      <c r="C175" s="15">
        <v>1715</v>
      </c>
      <c r="D175" s="15">
        <v>109604</v>
      </c>
      <c r="E175" s="15">
        <v>3551</v>
      </c>
      <c r="F175" s="15">
        <f t="shared" si="61"/>
        <v>116246</v>
      </c>
      <c r="G175" s="15">
        <v>206</v>
      </c>
      <c r="H175" s="15">
        <v>6986</v>
      </c>
      <c r="I175" s="15">
        <v>6469</v>
      </c>
      <c r="J175" s="17">
        <v>0</v>
      </c>
      <c r="K175" s="17">
        <v>0</v>
      </c>
      <c r="L175" s="15">
        <f t="shared" si="62"/>
        <v>129907</v>
      </c>
      <c r="M175" s="15">
        <f t="shared" si="64"/>
        <v>133458</v>
      </c>
      <c r="N175" s="15">
        <v>63756</v>
      </c>
      <c r="O175" s="15">
        <v>34623</v>
      </c>
      <c r="P175" s="15">
        <f t="shared" si="63"/>
        <v>29133</v>
      </c>
      <c r="Q175" s="15">
        <f t="shared" si="65"/>
        <v>159040</v>
      </c>
    </row>
    <row r="176" spans="1:17" ht="12.75" x14ac:dyDescent="0.2">
      <c r="A176" s="20" t="s">
        <v>92</v>
      </c>
      <c r="B176" s="15">
        <v>8433</v>
      </c>
      <c r="C176" s="15">
        <v>1706</v>
      </c>
      <c r="D176" s="15">
        <v>89976</v>
      </c>
      <c r="E176" s="15">
        <v>4387</v>
      </c>
      <c r="F176" s="15">
        <f t="shared" si="61"/>
        <v>95728</v>
      </c>
      <c r="G176" s="15">
        <v>224</v>
      </c>
      <c r="H176" s="15">
        <v>6986</v>
      </c>
      <c r="I176" s="15">
        <v>6469</v>
      </c>
      <c r="J176" s="17">
        <v>0</v>
      </c>
      <c r="K176" s="17">
        <v>0</v>
      </c>
      <c r="L176" s="15">
        <f t="shared" si="62"/>
        <v>109407</v>
      </c>
      <c r="M176" s="15">
        <f t="shared" si="64"/>
        <v>113794</v>
      </c>
      <c r="N176" s="15">
        <v>57834</v>
      </c>
      <c r="O176" s="15">
        <v>35258</v>
      </c>
      <c r="P176" s="15">
        <f t="shared" si="63"/>
        <v>22576</v>
      </c>
      <c r="Q176" s="15">
        <f t="shared" si="65"/>
        <v>131983</v>
      </c>
    </row>
    <row r="177" spans="1:17" ht="12.75" x14ac:dyDescent="0.2">
      <c r="A177" s="20" t="s">
        <v>93</v>
      </c>
      <c r="B177" s="15">
        <v>8367</v>
      </c>
      <c r="C177" s="15">
        <v>1761</v>
      </c>
      <c r="D177" s="15">
        <v>95194</v>
      </c>
      <c r="E177" s="15">
        <v>4414</v>
      </c>
      <c r="F177" s="15">
        <f t="shared" si="61"/>
        <v>100908</v>
      </c>
      <c r="G177" s="15">
        <v>220</v>
      </c>
      <c r="H177" s="15">
        <v>6986</v>
      </c>
      <c r="I177" s="15">
        <v>6469</v>
      </c>
      <c r="J177" s="17">
        <v>0</v>
      </c>
      <c r="K177" s="17">
        <v>0</v>
      </c>
      <c r="L177" s="15">
        <f t="shared" si="62"/>
        <v>114583</v>
      </c>
      <c r="M177" s="15">
        <f t="shared" si="64"/>
        <v>118997</v>
      </c>
      <c r="N177" s="15">
        <v>62926</v>
      </c>
      <c r="O177" s="15">
        <v>34340</v>
      </c>
      <c r="P177" s="15">
        <f t="shared" si="63"/>
        <v>28586</v>
      </c>
      <c r="Q177" s="15">
        <f t="shared" si="65"/>
        <v>143169</v>
      </c>
    </row>
    <row r="178" spans="1:17" ht="12.75" x14ac:dyDescent="0.2">
      <c r="A178" s="20" t="s">
        <v>81</v>
      </c>
      <c r="B178" s="15">
        <v>8319</v>
      </c>
      <c r="C178" s="15">
        <v>1761</v>
      </c>
      <c r="D178" s="15">
        <v>91832</v>
      </c>
      <c r="E178" s="15">
        <v>3537</v>
      </c>
      <c r="F178" s="15">
        <f t="shared" si="61"/>
        <v>98375</v>
      </c>
      <c r="G178" s="15">
        <v>1217</v>
      </c>
      <c r="H178" s="15">
        <v>6986</v>
      </c>
      <c r="I178" s="15">
        <v>6469</v>
      </c>
      <c r="J178" s="17">
        <v>0</v>
      </c>
      <c r="K178" s="17">
        <v>0</v>
      </c>
      <c r="L178" s="15">
        <f t="shared" si="62"/>
        <v>113047</v>
      </c>
      <c r="M178" s="15">
        <f t="shared" si="64"/>
        <v>116584</v>
      </c>
      <c r="N178" s="15">
        <v>75256</v>
      </c>
      <c r="O178" s="15">
        <v>45567</v>
      </c>
      <c r="P178" s="15">
        <f t="shared" si="63"/>
        <v>29689</v>
      </c>
      <c r="Q178" s="15">
        <f t="shared" si="65"/>
        <v>142736</v>
      </c>
    </row>
    <row r="179" spans="1:17" ht="12.75" x14ac:dyDescent="0.2">
      <c r="A179" s="13" t="s">
        <v>43</v>
      </c>
      <c r="B179" s="15"/>
      <c r="C179" s="15"/>
      <c r="D179" s="15"/>
      <c r="E179" s="15"/>
      <c r="F179" s="15"/>
      <c r="G179" s="15"/>
      <c r="H179" s="15"/>
      <c r="I179" s="15"/>
      <c r="J179" s="15" t="s">
        <v>58</v>
      </c>
      <c r="K179" s="15"/>
      <c r="L179" s="15"/>
      <c r="M179" s="15"/>
      <c r="N179" s="15"/>
      <c r="O179" s="15"/>
      <c r="P179" s="15"/>
      <c r="Q179" s="15"/>
    </row>
    <row r="180" spans="1:17" ht="12.75" x14ac:dyDescent="0.2">
      <c r="A180" s="20" t="s">
        <v>86</v>
      </c>
      <c r="B180" s="15">
        <v>8319</v>
      </c>
      <c r="C180" s="15">
        <v>1759</v>
      </c>
      <c r="D180" s="15">
        <v>86664</v>
      </c>
      <c r="E180" s="15">
        <v>4511</v>
      </c>
      <c r="F180" s="15">
        <f>B180+C180+D180-E180</f>
        <v>92231</v>
      </c>
      <c r="G180" s="15">
        <v>165</v>
      </c>
      <c r="H180" s="15">
        <v>6986</v>
      </c>
      <c r="I180" s="15">
        <v>6469</v>
      </c>
      <c r="J180" s="17">
        <v>0</v>
      </c>
      <c r="K180" s="17">
        <v>0</v>
      </c>
      <c r="L180" s="15">
        <f t="shared" ref="L180:L191" si="66">SUM(F180:K180)</f>
        <v>105851</v>
      </c>
      <c r="M180" s="15">
        <f t="shared" si="64"/>
        <v>110362</v>
      </c>
      <c r="N180" s="15">
        <v>73970</v>
      </c>
      <c r="O180" s="15">
        <v>45457</v>
      </c>
      <c r="P180" s="15">
        <f t="shared" ref="P180:P191" si="67">N180-O180</f>
        <v>28513</v>
      </c>
      <c r="Q180" s="15">
        <f t="shared" ref="Q180:Q191" si="68">L180+P180</f>
        <v>134364</v>
      </c>
    </row>
    <row r="181" spans="1:17" ht="12.75" x14ac:dyDescent="0.2">
      <c r="A181" s="20" t="s">
        <v>87</v>
      </c>
      <c r="B181" s="15">
        <v>8319</v>
      </c>
      <c r="C181" s="15">
        <v>1819</v>
      </c>
      <c r="D181" s="15">
        <v>94505</v>
      </c>
      <c r="E181" s="15">
        <v>2979</v>
      </c>
      <c r="F181" s="15">
        <v>101664</v>
      </c>
      <c r="G181" s="15">
        <v>161</v>
      </c>
      <c r="H181" s="15">
        <v>6986</v>
      </c>
      <c r="I181" s="15">
        <v>6469</v>
      </c>
      <c r="J181" s="17">
        <v>0</v>
      </c>
      <c r="K181" s="17">
        <v>0</v>
      </c>
      <c r="L181" s="15">
        <f t="shared" si="66"/>
        <v>115280</v>
      </c>
      <c r="M181" s="15">
        <f t="shared" si="64"/>
        <v>118259</v>
      </c>
      <c r="N181" s="15">
        <v>79733</v>
      </c>
      <c r="O181" s="15">
        <v>44502</v>
      </c>
      <c r="P181" s="15">
        <f t="shared" si="67"/>
        <v>35231</v>
      </c>
      <c r="Q181" s="15">
        <f t="shared" si="68"/>
        <v>150511</v>
      </c>
    </row>
    <row r="182" spans="1:17" ht="12.75" x14ac:dyDescent="0.2">
      <c r="A182" s="20" t="s">
        <v>78</v>
      </c>
      <c r="B182" s="15">
        <v>8068</v>
      </c>
      <c r="C182" s="15">
        <v>1751</v>
      </c>
      <c r="D182" s="15">
        <v>94921</v>
      </c>
      <c r="E182" s="15">
        <v>2676</v>
      </c>
      <c r="F182" s="15">
        <f t="shared" ref="F182:F191" si="69">B182+C182+D182-E182</f>
        <v>102064</v>
      </c>
      <c r="G182" s="15">
        <v>165</v>
      </c>
      <c r="H182" s="15">
        <v>6986</v>
      </c>
      <c r="I182" s="15">
        <v>6469</v>
      </c>
      <c r="J182" s="17">
        <v>0</v>
      </c>
      <c r="K182" s="17">
        <v>0</v>
      </c>
      <c r="L182" s="15">
        <f t="shared" si="66"/>
        <v>115684</v>
      </c>
      <c r="M182" s="15">
        <f t="shared" si="64"/>
        <v>118360</v>
      </c>
      <c r="N182" s="15">
        <v>91860</v>
      </c>
      <c r="O182" s="15">
        <v>49736</v>
      </c>
      <c r="P182" s="15">
        <f t="shared" si="67"/>
        <v>42124</v>
      </c>
      <c r="Q182" s="15">
        <f t="shared" si="68"/>
        <v>157808</v>
      </c>
    </row>
    <row r="183" spans="1:17" ht="12.75" x14ac:dyDescent="0.2">
      <c r="A183" s="20" t="s">
        <v>88</v>
      </c>
      <c r="B183" s="15">
        <v>7900</v>
      </c>
      <c r="C183" s="15">
        <v>1729</v>
      </c>
      <c r="D183" s="15">
        <v>92089</v>
      </c>
      <c r="E183" s="15">
        <v>3660</v>
      </c>
      <c r="F183" s="15">
        <f t="shared" si="69"/>
        <v>98058</v>
      </c>
      <c r="G183" s="15">
        <v>458</v>
      </c>
      <c r="H183" s="15">
        <v>6986</v>
      </c>
      <c r="I183" s="15">
        <v>6469</v>
      </c>
      <c r="J183" s="17">
        <v>0</v>
      </c>
      <c r="K183" s="17">
        <v>0</v>
      </c>
      <c r="L183" s="15">
        <f t="shared" si="66"/>
        <v>111971</v>
      </c>
      <c r="M183" s="15">
        <f t="shared" si="64"/>
        <v>115631</v>
      </c>
      <c r="N183" s="15">
        <v>83622</v>
      </c>
      <c r="O183" s="15">
        <v>49583</v>
      </c>
      <c r="P183" s="15">
        <f t="shared" si="67"/>
        <v>34039</v>
      </c>
      <c r="Q183" s="15">
        <f t="shared" si="68"/>
        <v>146010</v>
      </c>
    </row>
    <row r="184" spans="1:17" ht="12.75" x14ac:dyDescent="0.2">
      <c r="A184" s="20" t="s">
        <v>89</v>
      </c>
      <c r="B184" s="15">
        <v>8107</v>
      </c>
      <c r="C184" s="15">
        <v>1779</v>
      </c>
      <c r="D184" s="15">
        <v>99056</v>
      </c>
      <c r="E184" s="15">
        <v>4489</v>
      </c>
      <c r="F184" s="15">
        <f t="shared" si="69"/>
        <v>104453</v>
      </c>
      <c r="G184" s="15">
        <v>458</v>
      </c>
      <c r="H184" s="15">
        <v>6986</v>
      </c>
      <c r="I184" s="15">
        <v>6469</v>
      </c>
      <c r="J184" s="17">
        <v>0</v>
      </c>
      <c r="K184" s="17">
        <v>0</v>
      </c>
      <c r="L184" s="15">
        <f t="shared" si="66"/>
        <v>118366</v>
      </c>
      <c r="M184" s="15">
        <f t="shared" si="64"/>
        <v>122855</v>
      </c>
      <c r="N184" s="15">
        <v>84145</v>
      </c>
      <c r="O184" s="15">
        <v>49724</v>
      </c>
      <c r="P184" s="15">
        <f t="shared" si="67"/>
        <v>34421</v>
      </c>
      <c r="Q184" s="15">
        <f t="shared" si="68"/>
        <v>152787</v>
      </c>
    </row>
    <row r="185" spans="1:17" ht="12.75" x14ac:dyDescent="0.2">
      <c r="A185" s="20" t="s">
        <v>79</v>
      </c>
      <c r="B185" s="15">
        <v>8086</v>
      </c>
      <c r="C185" s="15">
        <v>1775</v>
      </c>
      <c r="D185" s="15">
        <v>95195</v>
      </c>
      <c r="E185" s="15">
        <v>4224</v>
      </c>
      <c r="F185" s="15">
        <f t="shared" si="69"/>
        <v>100832</v>
      </c>
      <c r="G185" s="15">
        <v>378</v>
      </c>
      <c r="H185" s="15">
        <v>6986</v>
      </c>
      <c r="I185" s="15">
        <v>6469</v>
      </c>
      <c r="J185" s="17">
        <v>0</v>
      </c>
      <c r="K185" s="17">
        <v>0</v>
      </c>
      <c r="L185" s="15">
        <f t="shared" si="66"/>
        <v>114665</v>
      </c>
      <c r="M185" s="15">
        <f t="shared" si="64"/>
        <v>118889</v>
      </c>
      <c r="N185" s="15">
        <v>79923</v>
      </c>
      <c r="O185" s="15">
        <v>50371</v>
      </c>
      <c r="P185" s="15">
        <f t="shared" si="67"/>
        <v>29552</v>
      </c>
      <c r="Q185" s="15">
        <f t="shared" si="68"/>
        <v>144217</v>
      </c>
    </row>
    <row r="186" spans="1:17" ht="12.75" x14ac:dyDescent="0.2">
      <c r="A186" s="20" t="s">
        <v>90</v>
      </c>
      <c r="B186" s="15">
        <v>8032</v>
      </c>
      <c r="C186" s="15">
        <v>1825</v>
      </c>
      <c r="D186" s="15">
        <v>86528</v>
      </c>
      <c r="E186" s="15">
        <v>6956</v>
      </c>
      <c r="F186" s="15">
        <f t="shared" si="69"/>
        <v>89429</v>
      </c>
      <c r="G186" s="15">
        <v>383</v>
      </c>
      <c r="H186" s="15">
        <v>6986</v>
      </c>
      <c r="I186" s="15">
        <v>6469</v>
      </c>
      <c r="J186" s="17">
        <v>0</v>
      </c>
      <c r="K186" s="17">
        <v>0</v>
      </c>
      <c r="L186" s="15">
        <f t="shared" si="66"/>
        <v>103267</v>
      </c>
      <c r="M186" s="15">
        <f t="shared" si="64"/>
        <v>110223</v>
      </c>
      <c r="N186" s="15">
        <v>81146</v>
      </c>
      <c r="O186" s="15">
        <v>55816</v>
      </c>
      <c r="P186" s="15">
        <f t="shared" si="67"/>
        <v>25330</v>
      </c>
      <c r="Q186" s="15">
        <f t="shared" si="68"/>
        <v>128597</v>
      </c>
    </row>
    <row r="187" spans="1:17" ht="12.75" x14ac:dyDescent="0.2">
      <c r="A187" s="20" t="s">
        <v>91</v>
      </c>
      <c r="B187" s="15">
        <v>7889</v>
      </c>
      <c r="C187" s="15">
        <v>1865</v>
      </c>
      <c r="D187" s="15">
        <v>92735</v>
      </c>
      <c r="E187" s="15">
        <v>6301</v>
      </c>
      <c r="F187" s="15">
        <f t="shared" si="69"/>
        <v>96188</v>
      </c>
      <c r="G187" s="15">
        <v>361</v>
      </c>
      <c r="H187" s="15">
        <v>6986</v>
      </c>
      <c r="I187" s="15">
        <v>6469</v>
      </c>
      <c r="J187" s="17">
        <v>0</v>
      </c>
      <c r="K187" s="17">
        <v>0</v>
      </c>
      <c r="L187" s="15">
        <f t="shared" si="66"/>
        <v>110004</v>
      </c>
      <c r="M187" s="15">
        <f t="shared" si="64"/>
        <v>116305</v>
      </c>
      <c r="N187" s="15">
        <v>83998</v>
      </c>
      <c r="O187" s="15">
        <v>55880</v>
      </c>
      <c r="P187" s="15">
        <f t="shared" si="67"/>
        <v>28118</v>
      </c>
      <c r="Q187" s="15">
        <f t="shared" si="68"/>
        <v>138122</v>
      </c>
    </row>
    <row r="188" spans="1:17" ht="12.75" x14ac:dyDescent="0.2">
      <c r="A188" s="20" t="s">
        <v>80</v>
      </c>
      <c r="B188" s="15">
        <v>7889</v>
      </c>
      <c r="C188" s="15">
        <v>1865</v>
      </c>
      <c r="D188" s="15">
        <v>81453</v>
      </c>
      <c r="E188" s="15">
        <v>5773</v>
      </c>
      <c r="F188" s="15">
        <f t="shared" si="69"/>
        <v>85434</v>
      </c>
      <c r="G188" s="15">
        <v>361</v>
      </c>
      <c r="H188" s="15">
        <v>6986</v>
      </c>
      <c r="I188" s="15">
        <v>6469</v>
      </c>
      <c r="J188" s="17">
        <v>0</v>
      </c>
      <c r="K188" s="17">
        <v>0</v>
      </c>
      <c r="L188" s="15">
        <f t="shared" si="66"/>
        <v>99250</v>
      </c>
      <c r="M188" s="15">
        <f t="shared" si="64"/>
        <v>105023</v>
      </c>
      <c r="N188" s="15">
        <v>74495</v>
      </c>
      <c r="O188" s="15">
        <v>53607</v>
      </c>
      <c r="P188" s="15">
        <f t="shared" si="67"/>
        <v>20888</v>
      </c>
      <c r="Q188" s="15">
        <f t="shared" si="68"/>
        <v>120138</v>
      </c>
    </row>
    <row r="189" spans="1:17" ht="12.75" x14ac:dyDescent="0.2">
      <c r="A189" s="20" t="s">
        <v>92</v>
      </c>
      <c r="B189" s="15">
        <v>8005</v>
      </c>
      <c r="C189" s="15">
        <v>1892</v>
      </c>
      <c r="D189" s="15">
        <v>94219</v>
      </c>
      <c r="E189" s="15">
        <v>6095</v>
      </c>
      <c r="F189" s="15">
        <f t="shared" si="69"/>
        <v>98021</v>
      </c>
      <c r="G189" s="15">
        <v>352</v>
      </c>
      <c r="H189" s="15">
        <v>6986</v>
      </c>
      <c r="I189" s="15">
        <v>6469</v>
      </c>
      <c r="J189" s="17">
        <v>0</v>
      </c>
      <c r="K189" s="17">
        <v>0</v>
      </c>
      <c r="L189" s="15">
        <f t="shared" si="66"/>
        <v>111828</v>
      </c>
      <c r="M189" s="15">
        <f t="shared" si="64"/>
        <v>117923</v>
      </c>
      <c r="N189" s="15">
        <v>73058</v>
      </c>
      <c r="O189" s="15">
        <v>53962</v>
      </c>
      <c r="P189" s="15">
        <f t="shared" si="67"/>
        <v>19096</v>
      </c>
      <c r="Q189" s="15">
        <f t="shared" si="68"/>
        <v>130924</v>
      </c>
    </row>
    <row r="190" spans="1:17" ht="12.75" x14ac:dyDescent="0.2">
      <c r="A190" s="20" t="s">
        <v>93</v>
      </c>
      <c r="B190" s="15">
        <v>7890</v>
      </c>
      <c r="C190" s="15">
        <v>1939</v>
      </c>
      <c r="D190" s="15">
        <v>99854</v>
      </c>
      <c r="E190" s="15">
        <v>5737</v>
      </c>
      <c r="F190" s="15">
        <f t="shared" si="69"/>
        <v>103946</v>
      </c>
      <c r="G190" s="15">
        <v>351</v>
      </c>
      <c r="H190" s="15">
        <v>6986</v>
      </c>
      <c r="I190" s="15">
        <v>6469</v>
      </c>
      <c r="J190" s="17">
        <v>0</v>
      </c>
      <c r="K190" s="17">
        <v>0</v>
      </c>
      <c r="L190" s="15">
        <f t="shared" si="66"/>
        <v>117752</v>
      </c>
      <c r="M190" s="15">
        <f t="shared" si="64"/>
        <v>123489</v>
      </c>
      <c r="N190" s="15">
        <v>68575</v>
      </c>
      <c r="O190" s="15">
        <v>46464</v>
      </c>
      <c r="P190" s="15">
        <f t="shared" si="67"/>
        <v>22111</v>
      </c>
      <c r="Q190" s="15">
        <f t="shared" si="68"/>
        <v>139863</v>
      </c>
    </row>
    <row r="191" spans="1:17" ht="12.75" x14ac:dyDescent="0.2">
      <c r="A191" s="20" t="s">
        <v>81</v>
      </c>
      <c r="B191" s="15">
        <v>7806</v>
      </c>
      <c r="C191" s="15">
        <v>1918</v>
      </c>
      <c r="D191" s="15">
        <v>95251</v>
      </c>
      <c r="E191" s="15">
        <v>7286</v>
      </c>
      <c r="F191" s="15">
        <f t="shared" si="69"/>
        <v>97689</v>
      </c>
      <c r="G191" s="15">
        <v>250</v>
      </c>
      <c r="H191" s="15">
        <v>6986</v>
      </c>
      <c r="I191" s="15">
        <v>6469</v>
      </c>
      <c r="J191" s="17">
        <v>0</v>
      </c>
      <c r="K191" s="17">
        <v>0</v>
      </c>
      <c r="L191" s="15">
        <f t="shared" si="66"/>
        <v>111394</v>
      </c>
      <c r="M191" s="15">
        <f t="shared" si="64"/>
        <v>118680</v>
      </c>
      <c r="N191" s="15">
        <v>69569</v>
      </c>
      <c r="O191" s="15">
        <v>51696</v>
      </c>
      <c r="P191" s="15">
        <f t="shared" si="67"/>
        <v>17873</v>
      </c>
      <c r="Q191" s="15">
        <f t="shared" si="68"/>
        <v>129267</v>
      </c>
    </row>
    <row r="192" spans="1:17" ht="12.75" x14ac:dyDescent="0.2">
      <c r="A192" s="13" t="s">
        <v>44</v>
      </c>
      <c r="B192" s="15"/>
      <c r="C192" s="15"/>
      <c r="D192" s="15"/>
      <c r="E192" s="15"/>
      <c r="F192" s="15"/>
      <c r="G192" s="15"/>
      <c r="H192" s="15"/>
      <c r="I192" s="15"/>
      <c r="J192" s="15" t="s">
        <v>58</v>
      </c>
      <c r="K192" s="15"/>
      <c r="L192" s="15"/>
      <c r="M192" s="15"/>
      <c r="N192" s="15"/>
      <c r="O192" s="15"/>
      <c r="P192" s="15"/>
      <c r="Q192" s="15"/>
    </row>
    <row r="193" spans="1:17" ht="12.75" x14ac:dyDescent="0.2">
      <c r="A193" s="20" t="s">
        <v>86</v>
      </c>
      <c r="B193" s="15">
        <v>7783</v>
      </c>
      <c r="C193" s="15">
        <v>1913</v>
      </c>
      <c r="D193" s="15">
        <v>89132</v>
      </c>
      <c r="E193" s="15">
        <v>5565</v>
      </c>
      <c r="F193" s="15">
        <f>B193+C193+D193-E193</f>
        <v>93263</v>
      </c>
      <c r="G193" s="15">
        <v>314</v>
      </c>
      <c r="H193" s="15">
        <v>6986</v>
      </c>
      <c r="I193" s="15">
        <v>6469</v>
      </c>
      <c r="J193" s="17">
        <v>0</v>
      </c>
      <c r="K193" s="17">
        <v>0</v>
      </c>
      <c r="L193" s="15">
        <f t="shared" ref="L193:L204" si="70">SUM(F193:K193)</f>
        <v>107032</v>
      </c>
      <c r="M193" s="15">
        <f t="shared" si="64"/>
        <v>112597</v>
      </c>
      <c r="N193" s="15">
        <v>67266</v>
      </c>
      <c r="O193" s="15">
        <v>50804</v>
      </c>
      <c r="P193" s="15">
        <f t="shared" ref="P193:P204" si="71">N193-O193</f>
        <v>16462</v>
      </c>
      <c r="Q193" s="15">
        <f t="shared" ref="Q193:Q204" si="72">L193+P193</f>
        <v>123494</v>
      </c>
    </row>
    <row r="194" spans="1:17" ht="12.75" x14ac:dyDescent="0.2">
      <c r="A194" s="20" t="s">
        <v>87</v>
      </c>
      <c r="B194" s="15">
        <v>7783</v>
      </c>
      <c r="C194" s="15">
        <v>1910</v>
      </c>
      <c r="D194" s="15">
        <v>93646</v>
      </c>
      <c r="E194" s="15">
        <v>5329</v>
      </c>
      <c r="F194" s="15">
        <v>98010</v>
      </c>
      <c r="G194" s="15">
        <v>240</v>
      </c>
      <c r="H194" s="15">
        <v>6986</v>
      </c>
      <c r="I194" s="15">
        <v>6469</v>
      </c>
      <c r="J194" s="17">
        <v>0</v>
      </c>
      <c r="K194" s="17">
        <v>0</v>
      </c>
      <c r="L194" s="15">
        <f t="shared" si="70"/>
        <v>111705</v>
      </c>
      <c r="M194" s="15">
        <f t="shared" si="64"/>
        <v>117034</v>
      </c>
      <c r="N194" s="15">
        <v>82563</v>
      </c>
      <c r="O194" s="15">
        <v>53528</v>
      </c>
      <c r="P194" s="15">
        <f t="shared" si="71"/>
        <v>29035</v>
      </c>
      <c r="Q194" s="15">
        <f t="shared" si="72"/>
        <v>140740</v>
      </c>
    </row>
    <row r="195" spans="1:17" ht="12.75" x14ac:dyDescent="0.2">
      <c r="A195" s="20" t="s">
        <v>78</v>
      </c>
      <c r="B195" s="15">
        <v>7728</v>
      </c>
      <c r="C195" s="15">
        <v>1976</v>
      </c>
      <c r="D195" s="15">
        <v>89560</v>
      </c>
      <c r="E195" s="15">
        <v>5909</v>
      </c>
      <c r="F195" s="15">
        <f t="shared" ref="F195:F204" si="73">B195+C195+D195-E195</f>
        <v>93355</v>
      </c>
      <c r="G195" s="15">
        <v>232</v>
      </c>
      <c r="H195" s="15">
        <v>6986</v>
      </c>
      <c r="I195" s="15">
        <v>6469</v>
      </c>
      <c r="J195" s="17">
        <v>0</v>
      </c>
      <c r="K195" s="17">
        <v>0</v>
      </c>
      <c r="L195" s="15">
        <f t="shared" si="70"/>
        <v>107042</v>
      </c>
      <c r="M195" s="15">
        <f t="shared" si="64"/>
        <v>112951</v>
      </c>
      <c r="N195" s="15">
        <v>81595</v>
      </c>
      <c r="O195" s="15">
        <v>58215</v>
      </c>
      <c r="P195" s="15">
        <f t="shared" si="71"/>
        <v>23380</v>
      </c>
      <c r="Q195" s="15">
        <f t="shared" si="72"/>
        <v>130422</v>
      </c>
    </row>
    <row r="196" spans="1:17" ht="12.75" x14ac:dyDescent="0.2">
      <c r="A196" s="20" t="s">
        <v>88</v>
      </c>
      <c r="B196" s="15">
        <v>7791</v>
      </c>
      <c r="C196" s="15">
        <v>1992</v>
      </c>
      <c r="D196" s="15">
        <v>81919</v>
      </c>
      <c r="E196" s="15">
        <v>3443</v>
      </c>
      <c r="F196" s="15">
        <f t="shared" si="73"/>
        <v>88259</v>
      </c>
      <c r="G196" s="15">
        <v>233</v>
      </c>
      <c r="H196" s="15">
        <v>6986</v>
      </c>
      <c r="I196" s="15">
        <v>6469</v>
      </c>
      <c r="J196" s="17">
        <v>0</v>
      </c>
      <c r="K196" s="17">
        <v>0</v>
      </c>
      <c r="L196" s="15">
        <f t="shared" si="70"/>
        <v>101947</v>
      </c>
      <c r="M196" s="15">
        <f t="shared" si="64"/>
        <v>105390</v>
      </c>
      <c r="N196" s="15">
        <v>73746</v>
      </c>
      <c r="O196" s="15">
        <v>55102</v>
      </c>
      <c r="P196" s="15">
        <f t="shared" si="71"/>
        <v>18644</v>
      </c>
      <c r="Q196" s="15">
        <f t="shared" si="72"/>
        <v>120591</v>
      </c>
    </row>
    <row r="197" spans="1:17" ht="12.75" x14ac:dyDescent="0.2">
      <c r="A197" s="20" t="s">
        <v>89</v>
      </c>
      <c r="B197" s="15">
        <v>7725</v>
      </c>
      <c r="C197" s="15">
        <v>2051</v>
      </c>
      <c r="D197" s="15">
        <v>106999</v>
      </c>
      <c r="E197" s="15">
        <v>3286</v>
      </c>
      <c r="F197" s="15">
        <f t="shared" si="73"/>
        <v>113489</v>
      </c>
      <c r="G197" s="15">
        <v>558</v>
      </c>
      <c r="H197" s="15">
        <v>6986</v>
      </c>
      <c r="I197" s="15">
        <v>6469</v>
      </c>
      <c r="J197" s="17">
        <v>0</v>
      </c>
      <c r="K197" s="17">
        <v>0</v>
      </c>
      <c r="L197" s="15">
        <f t="shared" si="70"/>
        <v>127502</v>
      </c>
      <c r="M197" s="15">
        <f t="shared" si="64"/>
        <v>130788</v>
      </c>
      <c r="N197" s="15">
        <v>76405</v>
      </c>
      <c r="O197" s="15">
        <v>54632</v>
      </c>
      <c r="P197" s="15">
        <f t="shared" si="71"/>
        <v>21773</v>
      </c>
      <c r="Q197" s="15">
        <f t="shared" si="72"/>
        <v>149275</v>
      </c>
    </row>
    <row r="198" spans="1:17" ht="12.75" x14ac:dyDescent="0.2">
      <c r="A198" s="20" t="s">
        <v>79</v>
      </c>
      <c r="B198" s="15">
        <v>7747</v>
      </c>
      <c r="C198" s="15">
        <v>2044</v>
      </c>
      <c r="D198" s="15">
        <v>111161</v>
      </c>
      <c r="E198" s="15">
        <v>4408</v>
      </c>
      <c r="F198" s="15">
        <f t="shared" si="73"/>
        <v>116544</v>
      </c>
      <c r="G198" s="15">
        <v>198</v>
      </c>
      <c r="H198" s="15">
        <v>6986</v>
      </c>
      <c r="I198" s="15">
        <v>6469</v>
      </c>
      <c r="J198" s="17">
        <v>0</v>
      </c>
      <c r="K198" s="17">
        <v>0</v>
      </c>
      <c r="L198" s="15">
        <f t="shared" si="70"/>
        <v>130197</v>
      </c>
      <c r="M198" s="15">
        <f t="shared" si="64"/>
        <v>134605</v>
      </c>
      <c r="N198" s="15">
        <v>65809</v>
      </c>
      <c r="O198" s="15">
        <v>54899</v>
      </c>
      <c r="P198" s="15">
        <f t="shared" si="71"/>
        <v>10910</v>
      </c>
      <c r="Q198" s="15">
        <f t="shared" si="72"/>
        <v>141107</v>
      </c>
    </row>
    <row r="199" spans="1:17" ht="12.75" x14ac:dyDescent="0.2">
      <c r="A199" s="20" t="s">
        <v>90</v>
      </c>
      <c r="B199" s="15">
        <v>7747</v>
      </c>
      <c r="C199" s="15">
        <v>2044</v>
      </c>
      <c r="D199" s="15">
        <v>104068</v>
      </c>
      <c r="E199" s="15">
        <v>3516</v>
      </c>
      <c r="F199" s="15">
        <f t="shared" si="73"/>
        <v>110343</v>
      </c>
      <c r="G199" s="15">
        <v>198</v>
      </c>
      <c r="H199" s="15">
        <v>6986</v>
      </c>
      <c r="I199" s="15">
        <v>6469</v>
      </c>
      <c r="J199" s="17">
        <v>0</v>
      </c>
      <c r="K199" s="17">
        <v>0</v>
      </c>
      <c r="L199" s="15">
        <f t="shared" si="70"/>
        <v>123996</v>
      </c>
      <c r="M199" s="15">
        <f t="shared" si="64"/>
        <v>127512</v>
      </c>
      <c r="N199" s="15">
        <v>78325</v>
      </c>
      <c r="O199" s="15">
        <v>57375</v>
      </c>
      <c r="P199" s="15">
        <f t="shared" si="71"/>
        <v>20950</v>
      </c>
      <c r="Q199" s="15">
        <f t="shared" si="72"/>
        <v>144946</v>
      </c>
    </row>
    <row r="200" spans="1:17" ht="12.75" x14ac:dyDescent="0.2">
      <c r="A200" s="20" t="s">
        <v>91</v>
      </c>
      <c r="B200" s="15">
        <v>7703</v>
      </c>
      <c r="C200" s="15">
        <v>2123</v>
      </c>
      <c r="D200" s="15">
        <v>103772</v>
      </c>
      <c r="E200" s="15">
        <v>2861</v>
      </c>
      <c r="F200" s="15">
        <f t="shared" si="73"/>
        <v>110737</v>
      </c>
      <c r="G200" s="15">
        <v>397</v>
      </c>
      <c r="H200" s="15">
        <v>6986</v>
      </c>
      <c r="I200" s="15">
        <v>6469</v>
      </c>
      <c r="J200" s="17">
        <v>0</v>
      </c>
      <c r="K200" s="17">
        <v>0</v>
      </c>
      <c r="L200" s="15">
        <f t="shared" si="70"/>
        <v>124589</v>
      </c>
      <c r="M200" s="15">
        <f t="shared" si="64"/>
        <v>127450</v>
      </c>
      <c r="N200" s="15">
        <v>82422</v>
      </c>
      <c r="O200" s="15">
        <v>57274</v>
      </c>
      <c r="P200" s="15">
        <f t="shared" si="71"/>
        <v>25148</v>
      </c>
      <c r="Q200" s="15">
        <f t="shared" si="72"/>
        <v>149737</v>
      </c>
    </row>
    <row r="201" spans="1:17" ht="12.75" x14ac:dyDescent="0.2">
      <c r="A201" s="20" t="s">
        <v>80</v>
      </c>
      <c r="B201" s="15">
        <v>7703</v>
      </c>
      <c r="C201" s="15">
        <v>2123</v>
      </c>
      <c r="D201" s="15">
        <v>91433</v>
      </c>
      <c r="E201" s="15">
        <v>3791</v>
      </c>
      <c r="F201" s="15">
        <f t="shared" si="73"/>
        <v>97468</v>
      </c>
      <c r="G201" s="15">
        <v>348</v>
      </c>
      <c r="H201" s="15">
        <v>6986</v>
      </c>
      <c r="I201" s="15">
        <v>6469</v>
      </c>
      <c r="J201" s="17">
        <v>0</v>
      </c>
      <c r="K201" s="17">
        <v>0</v>
      </c>
      <c r="L201" s="15">
        <f t="shared" si="70"/>
        <v>111271</v>
      </c>
      <c r="M201" s="15">
        <f t="shared" si="64"/>
        <v>115062</v>
      </c>
      <c r="N201" s="15">
        <v>80922</v>
      </c>
      <c r="O201" s="15">
        <v>60904</v>
      </c>
      <c r="P201" s="15">
        <f t="shared" si="71"/>
        <v>20018</v>
      </c>
      <c r="Q201" s="15">
        <f t="shared" si="72"/>
        <v>131289</v>
      </c>
    </row>
    <row r="202" spans="1:17" ht="12.75" x14ac:dyDescent="0.2">
      <c r="A202" s="20" t="s">
        <v>92</v>
      </c>
      <c r="B202" s="15">
        <v>7703</v>
      </c>
      <c r="C202" s="15">
        <v>2123</v>
      </c>
      <c r="D202" s="15">
        <v>77095</v>
      </c>
      <c r="E202" s="15">
        <v>3266</v>
      </c>
      <c r="F202" s="15">
        <f t="shared" si="73"/>
        <v>83655</v>
      </c>
      <c r="G202" s="15">
        <v>328</v>
      </c>
      <c r="H202" s="15">
        <v>6986</v>
      </c>
      <c r="I202" s="15">
        <v>6469</v>
      </c>
      <c r="J202" s="17">
        <v>0</v>
      </c>
      <c r="K202" s="17">
        <v>0</v>
      </c>
      <c r="L202" s="15">
        <f t="shared" si="70"/>
        <v>97438</v>
      </c>
      <c r="M202" s="15">
        <f t="shared" si="64"/>
        <v>100704</v>
      </c>
      <c r="N202" s="15">
        <v>72006</v>
      </c>
      <c r="O202" s="15">
        <v>57570</v>
      </c>
      <c r="P202" s="15">
        <f t="shared" si="71"/>
        <v>14436</v>
      </c>
      <c r="Q202" s="15">
        <f t="shared" si="72"/>
        <v>111874</v>
      </c>
    </row>
    <row r="203" spans="1:17" ht="12.75" x14ac:dyDescent="0.2">
      <c r="A203" s="20" t="s">
        <v>93</v>
      </c>
      <c r="B203" s="15">
        <v>7933</v>
      </c>
      <c r="C203" s="15">
        <v>2265</v>
      </c>
      <c r="D203" s="15">
        <v>76079</v>
      </c>
      <c r="E203" s="15">
        <v>4035</v>
      </c>
      <c r="F203" s="15">
        <f t="shared" si="73"/>
        <v>82242</v>
      </c>
      <c r="G203" s="15">
        <v>366</v>
      </c>
      <c r="H203" s="15">
        <v>6986</v>
      </c>
      <c r="I203" s="15">
        <v>6469</v>
      </c>
      <c r="J203" s="17">
        <v>0</v>
      </c>
      <c r="K203" s="17">
        <v>0</v>
      </c>
      <c r="L203" s="15">
        <f t="shared" si="70"/>
        <v>96063</v>
      </c>
      <c r="M203" s="15">
        <f t="shared" si="64"/>
        <v>100098</v>
      </c>
      <c r="N203" s="15">
        <v>63529</v>
      </c>
      <c r="O203" s="15">
        <v>52354</v>
      </c>
      <c r="P203" s="15">
        <f t="shared" si="71"/>
        <v>11175</v>
      </c>
      <c r="Q203" s="15">
        <f t="shared" si="72"/>
        <v>107238</v>
      </c>
    </row>
    <row r="204" spans="1:17" ht="12.75" x14ac:dyDescent="0.2">
      <c r="A204" s="20" t="s">
        <v>81</v>
      </c>
      <c r="B204" s="15">
        <v>8148</v>
      </c>
      <c r="C204" s="15">
        <v>2324</v>
      </c>
      <c r="D204" s="15">
        <v>63874</v>
      </c>
      <c r="E204" s="15">
        <v>3216</v>
      </c>
      <c r="F204" s="15">
        <f t="shared" si="73"/>
        <v>71130</v>
      </c>
      <c r="G204" s="15">
        <v>41</v>
      </c>
      <c r="H204" s="15">
        <v>6986</v>
      </c>
      <c r="I204" s="15">
        <v>6469</v>
      </c>
      <c r="J204" s="17">
        <v>0</v>
      </c>
      <c r="K204" s="17">
        <v>0</v>
      </c>
      <c r="L204" s="15">
        <f t="shared" si="70"/>
        <v>84626</v>
      </c>
      <c r="M204" s="15">
        <f t="shared" si="64"/>
        <v>87842</v>
      </c>
      <c r="N204" s="15">
        <v>73838</v>
      </c>
      <c r="O204" s="15">
        <v>56720</v>
      </c>
      <c r="P204" s="15">
        <f t="shared" si="71"/>
        <v>17118</v>
      </c>
      <c r="Q204" s="15">
        <f t="shared" si="72"/>
        <v>101744</v>
      </c>
    </row>
    <row r="205" spans="1:17" ht="15" customHeight="1" x14ac:dyDescent="0.2">
      <c r="A205" s="13" t="s">
        <v>45</v>
      </c>
      <c r="B205" s="15"/>
      <c r="C205" s="15"/>
      <c r="D205" s="15"/>
      <c r="E205" s="15"/>
      <c r="F205" s="15"/>
      <c r="G205" s="15"/>
      <c r="H205" s="15"/>
      <c r="I205" s="15"/>
      <c r="J205" s="15" t="s">
        <v>58</v>
      </c>
      <c r="K205" s="15"/>
      <c r="L205" s="15"/>
      <c r="M205" s="15"/>
      <c r="N205" s="15"/>
      <c r="O205" s="15"/>
      <c r="P205" s="15"/>
      <c r="Q205" s="15"/>
    </row>
    <row r="206" spans="1:17" ht="12.75" x14ac:dyDescent="0.2">
      <c r="A206" s="20" t="s">
        <v>86</v>
      </c>
      <c r="B206" s="15">
        <v>8146</v>
      </c>
      <c r="C206" s="15">
        <v>2323</v>
      </c>
      <c r="D206" s="15">
        <v>71124</v>
      </c>
      <c r="E206" s="15">
        <v>3050</v>
      </c>
      <c r="F206" s="15">
        <f t="shared" ref="F206:F217" si="74">B206+C206+D206-E206</f>
        <v>78543</v>
      </c>
      <c r="G206" s="15">
        <v>607</v>
      </c>
      <c r="H206" s="15">
        <v>6986</v>
      </c>
      <c r="I206" s="15">
        <v>6469</v>
      </c>
      <c r="J206" s="17">
        <v>0</v>
      </c>
      <c r="K206" s="17">
        <v>0</v>
      </c>
      <c r="L206" s="15">
        <f t="shared" ref="L206:L217" si="75">SUM(F206:K206)</f>
        <v>92605</v>
      </c>
      <c r="M206" s="15">
        <f t="shared" si="64"/>
        <v>95655</v>
      </c>
      <c r="N206" s="15">
        <v>67782</v>
      </c>
      <c r="O206" s="15">
        <v>51146</v>
      </c>
      <c r="P206" s="15">
        <f t="shared" ref="P206:P217" si="76">N206-O206</f>
        <v>16636</v>
      </c>
      <c r="Q206" s="15">
        <f t="shared" ref="Q206:Q217" si="77">L206+P206</f>
        <v>109241</v>
      </c>
    </row>
    <row r="207" spans="1:17" ht="12.75" x14ac:dyDescent="0.2">
      <c r="A207" s="20" t="s">
        <v>87</v>
      </c>
      <c r="B207" s="15">
        <v>11840</v>
      </c>
      <c r="C207" s="15">
        <v>2395</v>
      </c>
      <c r="D207" s="15">
        <v>67117</v>
      </c>
      <c r="E207" s="15">
        <v>3130</v>
      </c>
      <c r="F207" s="15">
        <f t="shared" si="74"/>
        <v>78222</v>
      </c>
      <c r="G207" s="15">
        <v>569</v>
      </c>
      <c r="H207" s="15">
        <v>6986</v>
      </c>
      <c r="I207" s="15">
        <v>6469</v>
      </c>
      <c r="J207" s="17">
        <v>0</v>
      </c>
      <c r="K207" s="17">
        <v>0</v>
      </c>
      <c r="L207" s="15">
        <f t="shared" si="75"/>
        <v>92246</v>
      </c>
      <c r="M207" s="15">
        <f t="shared" si="64"/>
        <v>95376</v>
      </c>
      <c r="N207" s="15">
        <v>76732</v>
      </c>
      <c r="O207" s="15">
        <v>56711</v>
      </c>
      <c r="P207" s="15">
        <f t="shared" si="76"/>
        <v>20021</v>
      </c>
      <c r="Q207" s="15">
        <f t="shared" si="77"/>
        <v>112267</v>
      </c>
    </row>
    <row r="208" spans="1:17" ht="12.75" x14ac:dyDescent="0.2">
      <c r="A208" s="20" t="s">
        <v>78</v>
      </c>
      <c r="B208" s="15">
        <v>11840</v>
      </c>
      <c r="C208" s="15">
        <v>2395</v>
      </c>
      <c r="D208" s="15">
        <v>73869</v>
      </c>
      <c r="E208" s="15">
        <v>4207</v>
      </c>
      <c r="F208" s="15">
        <f t="shared" si="74"/>
        <v>83897</v>
      </c>
      <c r="G208" s="15">
        <v>488</v>
      </c>
      <c r="H208" s="15">
        <v>6986</v>
      </c>
      <c r="I208" s="15">
        <v>6469</v>
      </c>
      <c r="J208" s="17">
        <v>0</v>
      </c>
      <c r="K208" s="17">
        <v>0</v>
      </c>
      <c r="L208" s="15">
        <f t="shared" si="75"/>
        <v>97840</v>
      </c>
      <c r="M208" s="15">
        <f t="shared" si="64"/>
        <v>102047</v>
      </c>
      <c r="N208" s="15">
        <v>73966</v>
      </c>
      <c r="O208" s="15">
        <v>61607</v>
      </c>
      <c r="P208" s="15">
        <f t="shared" si="76"/>
        <v>12359</v>
      </c>
      <c r="Q208" s="15">
        <f t="shared" si="77"/>
        <v>110199</v>
      </c>
    </row>
    <row r="209" spans="1:17" ht="12.75" x14ac:dyDescent="0.2">
      <c r="A209" s="20" t="s">
        <v>88</v>
      </c>
      <c r="B209" s="15">
        <v>11840</v>
      </c>
      <c r="C209" s="15">
        <v>2395</v>
      </c>
      <c r="D209" s="15">
        <v>75942</v>
      </c>
      <c r="E209" s="15">
        <v>3115</v>
      </c>
      <c r="F209" s="15">
        <f t="shared" si="74"/>
        <v>87062</v>
      </c>
      <c r="G209" s="15">
        <v>402</v>
      </c>
      <c r="H209" s="15">
        <v>6986</v>
      </c>
      <c r="I209" s="15">
        <v>6469</v>
      </c>
      <c r="J209" s="17">
        <v>0</v>
      </c>
      <c r="K209" s="17">
        <v>0</v>
      </c>
      <c r="L209" s="15">
        <f t="shared" si="75"/>
        <v>100919</v>
      </c>
      <c r="M209" s="15">
        <f t="shared" si="64"/>
        <v>104034</v>
      </c>
      <c r="N209" s="15">
        <v>77420</v>
      </c>
      <c r="O209" s="15">
        <v>69148</v>
      </c>
      <c r="P209" s="15">
        <f t="shared" si="76"/>
        <v>8272</v>
      </c>
      <c r="Q209" s="15">
        <f t="shared" si="77"/>
        <v>109191</v>
      </c>
    </row>
    <row r="210" spans="1:17" ht="12.75" x14ac:dyDescent="0.2">
      <c r="A210" s="20" t="s">
        <v>89</v>
      </c>
      <c r="B210" s="15">
        <v>11519</v>
      </c>
      <c r="C210" s="15">
        <v>2412</v>
      </c>
      <c r="D210" s="15">
        <v>108939</v>
      </c>
      <c r="E210" s="15">
        <v>3031</v>
      </c>
      <c r="F210" s="15">
        <f t="shared" si="74"/>
        <v>119839</v>
      </c>
      <c r="G210" s="15">
        <v>400</v>
      </c>
      <c r="H210" s="15">
        <v>6986</v>
      </c>
      <c r="I210" s="15">
        <v>6469</v>
      </c>
      <c r="J210" s="17">
        <v>0</v>
      </c>
      <c r="K210" s="17">
        <v>0</v>
      </c>
      <c r="L210" s="15">
        <f t="shared" si="75"/>
        <v>133694</v>
      </c>
      <c r="M210" s="15">
        <f t="shared" si="64"/>
        <v>136725</v>
      </c>
      <c r="N210" s="15">
        <v>75241</v>
      </c>
      <c r="O210" s="15">
        <v>70405</v>
      </c>
      <c r="P210" s="15">
        <f t="shared" si="76"/>
        <v>4836</v>
      </c>
      <c r="Q210" s="15">
        <f t="shared" si="77"/>
        <v>138530</v>
      </c>
    </row>
    <row r="211" spans="1:17" ht="12.75" x14ac:dyDescent="0.2">
      <c r="A211" s="20" t="s">
        <v>79</v>
      </c>
      <c r="B211" s="15">
        <v>11519</v>
      </c>
      <c r="C211" s="15">
        <v>2388</v>
      </c>
      <c r="D211" s="15">
        <v>116900</v>
      </c>
      <c r="E211" s="15">
        <v>1967</v>
      </c>
      <c r="F211" s="15">
        <f t="shared" si="74"/>
        <v>128840</v>
      </c>
      <c r="G211" s="15">
        <v>392</v>
      </c>
      <c r="H211" s="15">
        <v>6986</v>
      </c>
      <c r="I211" s="15">
        <v>6469</v>
      </c>
      <c r="J211" s="17">
        <v>0</v>
      </c>
      <c r="K211" s="17">
        <v>0</v>
      </c>
      <c r="L211" s="15">
        <f t="shared" si="75"/>
        <v>142687</v>
      </c>
      <c r="M211" s="15">
        <f t="shared" si="64"/>
        <v>144654</v>
      </c>
      <c r="N211" s="15">
        <v>69965</v>
      </c>
      <c r="O211" s="15">
        <v>64015</v>
      </c>
      <c r="P211" s="15">
        <f t="shared" si="76"/>
        <v>5950</v>
      </c>
      <c r="Q211" s="15">
        <f t="shared" si="77"/>
        <v>148637</v>
      </c>
    </row>
    <row r="212" spans="1:17" ht="12.75" x14ac:dyDescent="0.2">
      <c r="A212" s="20" t="s">
        <v>90</v>
      </c>
      <c r="B212" s="15">
        <v>11818</v>
      </c>
      <c r="C212" s="15">
        <v>1967</v>
      </c>
      <c r="D212" s="15">
        <v>110280</v>
      </c>
      <c r="E212" s="15">
        <v>1547</v>
      </c>
      <c r="F212" s="15">
        <f t="shared" si="74"/>
        <v>122518</v>
      </c>
      <c r="G212" s="15">
        <v>384</v>
      </c>
      <c r="H212" s="15">
        <v>6986</v>
      </c>
      <c r="I212" s="15">
        <v>6469</v>
      </c>
      <c r="J212" s="17">
        <v>0</v>
      </c>
      <c r="K212" s="17">
        <v>0</v>
      </c>
      <c r="L212" s="15">
        <f t="shared" si="75"/>
        <v>136357</v>
      </c>
      <c r="M212" s="15">
        <f t="shared" si="64"/>
        <v>137904</v>
      </c>
      <c r="N212" s="15">
        <v>75571</v>
      </c>
      <c r="O212" s="15">
        <v>60923</v>
      </c>
      <c r="P212" s="15">
        <f t="shared" si="76"/>
        <v>14648</v>
      </c>
      <c r="Q212" s="15">
        <f t="shared" si="77"/>
        <v>151005</v>
      </c>
    </row>
    <row r="213" spans="1:17" ht="12.75" x14ac:dyDescent="0.2">
      <c r="A213" s="20" t="s">
        <v>91</v>
      </c>
      <c r="B213" s="15">
        <v>11806</v>
      </c>
      <c r="C213" s="15">
        <v>2061</v>
      </c>
      <c r="D213" s="15">
        <v>102030</v>
      </c>
      <c r="E213" s="15">
        <v>2069</v>
      </c>
      <c r="F213" s="15">
        <f t="shared" si="74"/>
        <v>113828</v>
      </c>
      <c r="G213" s="15">
        <v>322</v>
      </c>
      <c r="H213" s="15">
        <v>6986</v>
      </c>
      <c r="I213" s="15">
        <v>6469</v>
      </c>
      <c r="J213" s="17">
        <v>0</v>
      </c>
      <c r="K213" s="17">
        <v>0</v>
      </c>
      <c r="L213" s="15">
        <f t="shared" si="75"/>
        <v>127605</v>
      </c>
      <c r="M213" s="15">
        <f t="shared" si="64"/>
        <v>129674</v>
      </c>
      <c r="N213" s="15">
        <v>117490</v>
      </c>
      <c r="O213" s="15">
        <v>74372</v>
      </c>
      <c r="P213" s="15">
        <f t="shared" si="76"/>
        <v>43118</v>
      </c>
      <c r="Q213" s="15">
        <f t="shared" si="77"/>
        <v>170723</v>
      </c>
    </row>
    <row r="214" spans="1:17" ht="12.75" x14ac:dyDescent="0.2">
      <c r="A214" s="20" t="s">
        <v>80</v>
      </c>
      <c r="B214" s="15">
        <v>11806</v>
      </c>
      <c r="C214" s="15">
        <v>2061</v>
      </c>
      <c r="D214" s="15">
        <v>106027</v>
      </c>
      <c r="E214" s="15">
        <v>1980</v>
      </c>
      <c r="F214" s="15">
        <f t="shared" si="74"/>
        <v>117914</v>
      </c>
      <c r="G214" s="15">
        <v>310</v>
      </c>
      <c r="H214" s="15">
        <v>6986</v>
      </c>
      <c r="I214" s="15">
        <v>6469</v>
      </c>
      <c r="J214" s="17">
        <v>0</v>
      </c>
      <c r="K214" s="17">
        <v>0</v>
      </c>
      <c r="L214" s="15">
        <f t="shared" si="75"/>
        <v>131679</v>
      </c>
      <c r="M214" s="15">
        <f t="shared" si="64"/>
        <v>133659</v>
      </c>
      <c r="N214" s="15">
        <v>84047</v>
      </c>
      <c r="O214" s="15">
        <v>53349</v>
      </c>
      <c r="P214" s="15">
        <f t="shared" si="76"/>
        <v>30698</v>
      </c>
      <c r="Q214" s="15">
        <f t="shared" si="77"/>
        <v>162377</v>
      </c>
    </row>
    <row r="215" spans="1:17" ht="12.75" x14ac:dyDescent="0.2">
      <c r="A215" s="20" t="s">
        <v>92</v>
      </c>
      <c r="B215" s="15">
        <v>11806</v>
      </c>
      <c r="C215" s="15">
        <v>2061</v>
      </c>
      <c r="D215" s="15">
        <v>114632</v>
      </c>
      <c r="E215" s="15">
        <v>1928</v>
      </c>
      <c r="F215" s="15">
        <f t="shared" si="74"/>
        <v>126571</v>
      </c>
      <c r="G215" s="15">
        <v>306</v>
      </c>
      <c r="H215" s="15">
        <v>6986</v>
      </c>
      <c r="I215" s="15">
        <v>6469</v>
      </c>
      <c r="J215" s="17">
        <v>0</v>
      </c>
      <c r="K215" s="17">
        <v>0</v>
      </c>
      <c r="L215" s="15">
        <f t="shared" si="75"/>
        <v>140332</v>
      </c>
      <c r="M215" s="15">
        <f t="shared" si="64"/>
        <v>142260</v>
      </c>
      <c r="N215" s="15">
        <v>108363</v>
      </c>
      <c r="O215" s="15">
        <v>65981</v>
      </c>
      <c r="P215" s="15">
        <f t="shared" si="76"/>
        <v>42382</v>
      </c>
      <c r="Q215" s="15">
        <f t="shared" si="77"/>
        <v>182714</v>
      </c>
    </row>
    <row r="216" spans="1:17" ht="12.75" x14ac:dyDescent="0.2">
      <c r="A216" s="20" t="s">
        <v>93</v>
      </c>
      <c r="B216" s="15">
        <v>11806</v>
      </c>
      <c r="C216" s="15">
        <v>2161</v>
      </c>
      <c r="D216" s="15">
        <v>107738</v>
      </c>
      <c r="E216" s="15">
        <v>2104</v>
      </c>
      <c r="F216" s="15">
        <f t="shared" si="74"/>
        <v>119601</v>
      </c>
      <c r="G216" s="15">
        <v>375</v>
      </c>
      <c r="H216" s="15">
        <v>6986</v>
      </c>
      <c r="I216" s="15">
        <v>6469</v>
      </c>
      <c r="J216" s="17">
        <v>0</v>
      </c>
      <c r="K216" s="17">
        <v>0</v>
      </c>
      <c r="L216" s="15">
        <f t="shared" si="75"/>
        <v>133431</v>
      </c>
      <c r="M216" s="15">
        <f t="shared" si="64"/>
        <v>135535</v>
      </c>
      <c r="N216" s="15">
        <v>90210</v>
      </c>
      <c r="O216" s="15">
        <v>51806</v>
      </c>
      <c r="P216" s="15">
        <f t="shared" si="76"/>
        <v>38404</v>
      </c>
      <c r="Q216" s="15">
        <f t="shared" si="77"/>
        <v>171835</v>
      </c>
    </row>
    <row r="217" spans="1:17" ht="12.75" x14ac:dyDescent="0.2">
      <c r="A217" s="20" t="s">
        <v>81</v>
      </c>
      <c r="B217" s="15">
        <v>11806</v>
      </c>
      <c r="C217" s="15">
        <v>2322</v>
      </c>
      <c r="D217" s="15">
        <v>114356</v>
      </c>
      <c r="E217" s="15">
        <v>2075</v>
      </c>
      <c r="F217" s="15">
        <f t="shared" si="74"/>
        <v>126409</v>
      </c>
      <c r="G217" s="15">
        <v>366</v>
      </c>
      <c r="H217" s="15">
        <v>6986</v>
      </c>
      <c r="I217" s="15">
        <v>6469</v>
      </c>
      <c r="J217" s="17">
        <v>0</v>
      </c>
      <c r="K217" s="17">
        <v>0</v>
      </c>
      <c r="L217" s="15">
        <f t="shared" si="75"/>
        <v>140230</v>
      </c>
      <c r="M217" s="15">
        <f t="shared" si="64"/>
        <v>142305</v>
      </c>
      <c r="N217" s="15">
        <v>86311</v>
      </c>
      <c r="O217" s="15">
        <v>41474</v>
      </c>
      <c r="P217" s="15">
        <f t="shared" si="76"/>
        <v>44837</v>
      </c>
      <c r="Q217" s="15">
        <f t="shared" si="77"/>
        <v>185067</v>
      </c>
    </row>
    <row r="218" spans="1:17" ht="12.75" x14ac:dyDescent="0.2">
      <c r="A218" s="13" t="s">
        <v>46</v>
      </c>
      <c r="B218" s="14"/>
      <c r="C218" s="14"/>
      <c r="D218" s="14"/>
      <c r="E218" s="14"/>
      <c r="F218" s="14"/>
      <c r="G218" s="14"/>
      <c r="H218" s="14"/>
      <c r="I218" s="14"/>
      <c r="J218" s="14"/>
      <c r="K218" s="14"/>
      <c r="L218" s="14"/>
      <c r="M218" s="14"/>
      <c r="N218" s="14"/>
      <c r="O218" s="14"/>
      <c r="P218" s="14"/>
      <c r="Q218" s="14"/>
    </row>
    <row r="219" spans="1:17" ht="12.75" x14ac:dyDescent="0.2">
      <c r="A219" s="20" t="s">
        <v>86</v>
      </c>
      <c r="B219" s="15">
        <v>11412</v>
      </c>
      <c r="C219" s="15">
        <v>2740</v>
      </c>
      <c r="D219" s="15">
        <v>112525</v>
      </c>
      <c r="E219" s="15">
        <v>2059</v>
      </c>
      <c r="F219" s="15">
        <f t="shared" ref="F219:F230" si="78">B219+C219+D219-E219</f>
        <v>124618</v>
      </c>
      <c r="G219" s="15">
        <v>292</v>
      </c>
      <c r="H219" s="15">
        <v>6986</v>
      </c>
      <c r="I219" s="15">
        <v>6469</v>
      </c>
      <c r="J219" s="17">
        <v>0</v>
      </c>
      <c r="K219" s="17">
        <v>0</v>
      </c>
      <c r="L219" s="15">
        <f t="shared" ref="L219:L230" si="79">SUM(F219:K219)</f>
        <v>138365</v>
      </c>
      <c r="M219" s="15">
        <f>B219+C219+D219+G219+H219+I219+J219+K219</f>
        <v>140424</v>
      </c>
      <c r="N219" s="15">
        <v>83616</v>
      </c>
      <c r="O219" s="15">
        <v>53071</v>
      </c>
      <c r="P219" s="15">
        <f t="shared" ref="P219:P230" si="80">N219-O219</f>
        <v>30545</v>
      </c>
      <c r="Q219" s="15">
        <f>L219+P219</f>
        <v>168910</v>
      </c>
    </row>
    <row r="220" spans="1:17" ht="12.75" x14ac:dyDescent="0.2">
      <c r="A220" s="20" t="s">
        <v>87</v>
      </c>
      <c r="B220" s="15">
        <v>10886</v>
      </c>
      <c r="C220" s="15">
        <v>3232</v>
      </c>
      <c r="D220" s="15">
        <v>95448</v>
      </c>
      <c r="E220" s="15">
        <v>2251</v>
      </c>
      <c r="F220" s="15">
        <f t="shared" si="78"/>
        <v>107315</v>
      </c>
      <c r="G220" s="15">
        <v>275</v>
      </c>
      <c r="H220" s="15">
        <v>6986</v>
      </c>
      <c r="I220" s="15">
        <v>6469</v>
      </c>
      <c r="J220" s="17">
        <v>0</v>
      </c>
      <c r="K220" s="17">
        <v>0</v>
      </c>
      <c r="L220" s="15">
        <f t="shared" si="79"/>
        <v>121045</v>
      </c>
      <c r="M220" s="15">
        <f t="shared" ref="M220:M269" si="81">B220+C220+D220+G220+H220+I220+J220+K220</f>
        <v>123296</v>
      </c>
      <c r="N220" s="15">
        <v>88548</v>
      </c>
      <c r="O220" s="15">
        <v>49998</v>
      </c>
      <c r="P220" s="15">
        <f t="shared" si="80"/>
        <v>38550</v>
      </c>
      <c r="Q220" s="15">
        <f t="shared" ref="Q220:Q230" si="82">L220+P220</f>
        <v>159595</v>
      </c>
    </row>
    <row r="221" spans="1:17" ht="12.75" x14ac:dyDescent="0.2">
      <c r="A221" s="20" t="s">
        <v>78</v>
      </c>
      <c r="B221" s="15">
        <v>11361</v>
      </c>
      <c r="C221" s="15">
        <v>2837</v>
      </c>
      <c r="D221" s="15">
        <v>166576</v>
      </c>
      <c r="E221" s="15">
        <v>2063</v>
      </c>
      <c r="F221" s="15">
        <f t="shared" si="78"/>
        <v>178711</v>
      </c>
      <c r="G221" s="15">
        <v>229</v>
      </c>
      <c r="H221" s="15">
        <v>6986</v>
      </c>
      <c r="I221" s="15">
        <v>6469</v>
      </c>
      <c r="J221" s="17">
        <v>0</v>
      </c>
      <c r="K221" s="17">
        <v>0</v>
      </c>
      <c r="L221" s="15">
        <f t="shared" si="79"/>
        <v>192395</v>
      </c>
      <c r="M221" s="15">
        <f t="shared" si="81"/>
        <v>194458</v>
      </c>
      <c r="N221" s="15">
        <v>92237</v>
      </c>
      <c r="O221" s="15">
        <v>47325</v>
      </c>
      <c r="P221" s="15">
        <f t="shared" si="80"/>
        <v>44912</v>
      </c>
      <c r="Q221" s="15">
        <f t="shared" si="82"/>
        <v>237307</v>
      </c>
    </row>
    <row r="222" spans="1:17" ht="12.75" x14ac:dyDescent="0.2">
      <c r="A222" s="20" t="s">
        <v>88</v>
      </c>
      <c r="B222" s="15">
        <v>11128</v>
      </c>
      <c r="C222" s="15">
        <v>2779</v>
      </c>
      <c r="D222" s="15">
        <v>153746</v>
      </c>
      <c r="E222" s="15">
        <v>2303</v>
      </c>
      <c r="F222" s="15">
        <f t="shared" si="78"/>
        <v>165350</v>
      </c>
      <c r="G222" s="15">
        <v>229</v>
      </c>
      <c r="H222" s="15">
        <v>6986</v>
      </c>
      <c r="I222" s="15">
        <v>6469</v>
      </c>
      <c r="J222" s="17">
        <v>0</v>
      </c>
      <c r="K222" s="17">
        <v>0</v>
      </c>
      <c r="L222" s="15">
        <f t="shared" si="79"/>
        <v>179034</v>
      </c>
      <c r="M222" s="15">
        <f t="shared" si="81"/>
        <v>181337</v>
      </c>
      <c r="N222" s="15">
        <v>112986</v>
      </c>
      <c r="O222" s="15">
        <v>54970</v>
      </c>
      <c r="P222" s="15">
        <f t="shared" si="80"/>
        <v>58016</v>
      </c>
      <c r="Q222" s="15">
        <f t="shared" si="82"/>
        <v>237050</v>
      </c>
    </row>
    <row r="223" spans="1:17" ht="12.75" x14ac:dyDescent="0.2">
      <c r="A223" s="20" t="s">
        <v>89</v>
      </c>
      <c r="B223" s="15">
        <v>11135</v>
      </c>
      <c r="C223" s="15">
        <v>2896</v>
      </c>
      <c r="D223" s="15">
        <v>153315</v>
      </c>
      <c r="E223" s="15">
        <v>1710</v>
      </c>
      <c r="F223" s="15">
        <f t="shared" si="78"/>
        <v>165636</v>
      </c>
      <c r="G223" s="15">
        <v>216</v>
      </c>
      <c r="H223" s="15">
        <v>6986</v>
      </c>
      <c r="I223" s="15">
        <v>6469</v>
      </c>
      <c r="J223" s="17">
        <v>0</v>
      </c>
      <c r="K223" s="17">
        <v>0</v>
      </c>
      <c r="L223" s="15">
        <f t="shared" si="79"/>
        <v>179307</v>
      </c>
      <c r="M223" s="15">
        <f t="shared" si="81"/>
        <v>181017</v>
      </c>
      <c r="N223" s="15">
        <v>114515</v>
      </c>
      <c r="O223" s="15">
        <v>47530</v>
      </c>
      <c r="P223" s="15">
        <f t="shared" si="80"/>
        <v>66985</v>
      </c>
      <c r="Q223" s="15">
        <f t="shared" si="82"/>
        <v>246292</v>
      </c>
    </row>
    <row r="224" spans="1:17" ht="12.75" x14ac:dyDescent="0.2">
      <c r="A224" s="20" t="s">
        <v>79</v>
      </c>
      <c r="B224" s="15">
        <v>11280</v>
      </c>
      <c r="C224" s="15">
        <v>2934</v>
      </c>
      <c r="D224" s="15">
        <v>166028</v>
      </c>
      <c r="E224" s="15">
        <v>2523</v>
      </c>
      <c r="F224" s="15">
        <f t="shared" si="78"/>
        <v>177719</v>
      </c>
      <c r="G224" s="15">
        <v>216</v>
      </c>
      <c r="H224" s="15">
        <v>6986</v>
      </c>
      <c r="I224" s="15">
        <v>6469</v>
      </c>
      <c r="J224" s="17">
        <v>0</v>
      </c>
      <c r="K224" s="17">
        <v>0</v>
      </c>
      <c r="L224" s="15">
        <f t="shared" si="79"/>
        <v>191390</v>
      </c>
      <c r="M224" s="15">
        <f t="shared" si="81"/>
        <v>193913</v>
      </c>
      <c r="N224" s="15">
        <v>131309</v>
      </c>
      <c r="O224" s="15">
        <v>46017</v>
      </c>
      <c r="P224" s="15">
        <f t="shared" si="80"/>
        <v>85292</v>
      </c>
      <c r="Q224" s="15">
        <f t="shared" si="82"/>
        <v>276682</v>
      </c>
    </row>
    <row r="225" spans="1:17" ht="12.75" x14ac:dyDescent="0.2">
      <c r="A225" s="20" t="s">
        <v>90</v>
      </c>
      <c r="B225" s="15">
        <v>11078</v>
      </c>
      <c r="C225" s="15">
        <v>2882</v>
      </c>
      <c r="D225" s="15">
        <v>138578</v>
      </c>
      <c r="E225" s="15">
        <v>1316</v>
      </c>
      <c r="F225" s="15">
        <f t="shared" si="78"/>
        <v>151222</v>
      </c>
      <c r="G225" s="15">
        <v>212</v>
      </c>
      <c r="H225" s="15">
        <v>6986</v>
      </c>
      <c r="I225" s="15">
        <v>6469</v>
      </c>
      <c r="J225" s="17">
        <v>0</v>
      </c>
      <c r="K225" s="17">
        <v>0</v>
      </c>
      <c r="L225" s="15">
        <f t="shared" si="79"/>
        <v>164889</v>
      </c>
      <c r="M225" s="15">
        <f t="shared" si="81"/>
        <v>166205</v>
      </c>
      <c r="N225" s="15">
        <v>138516</v>
      </c>
      <c r="O225" s="15">
        <v>42533</v>
      </c>
      <c r="P225" s="15">
        <f t="shared" si="80"/>
        <v>95983</v>
      </c>
      <c r="Q225" s="15">
        <f t="shared" si="82"/>
        <v>260872</v>
      </c>
    </row>
    <row r="226" spans="1:17" ht="12.75" x14ac:dyDescent="0.2">
      <c r="A226" s="20" t="s">
        <v>91</v>
      </c>
      <c r="B226" s="15">
        <v>11006</v>
      </c>
      <c r="C226" s="15">
        <v>2989</v>
      </c>
      <c r="D226" s="15">
        <v>131250</v>
      </c>
      <c r="E226" s="15">
        <v>1209</v>
      </c>
      <c r="F226" s="15">
        <f t="shared" si="78"/>
        <v>144036</v>
      </c>
      <c r="G226" s="15">
        <v>208</v>
      </c>
      <c r="H226" s="15">
        <v>6986</v>
      </c>
      <c r="I226" s="15">
        <v>6469</v>
      </c>
      <c r="J226" s="17">
        <v>0</v>
      </c>
      <c r="K226" s="17">
        <v>0</v>
      </c>
      <c r="L226" s="15">
        <f t="shared" si="79"/>
        <v>157699</v>
      </c>
      <c r="M226" s="15">
        <f t="shared" si="81"/>
        <v>158908</v>
      </c>
      <c r="N226" s="15">
        <v>132599</v>
      </c>
      <c r="O226" s="15">
        <v>48303</v>
      </c>
      <c r="P226" s="15">
        <f t="shared" si="80"/>
        <v>84296</v>
      </c>
      <c r="Q226" s="15">
        <f t="shared" si="82"/>
        <v>241995</v>
      </c>
    </row>
    <row r="227" spans="1:17" ht="12.75" x14ac:dyDescent="0.2">
      <c r="A227" s="20" t="s">
        <v>80</v>
      </c>
      <c r="B227" s="15">
        <v>10948</v>
      </c>
      <c r="C227" s="15">
        <v>2973</v>
      </c>
      <c r="D227" s="15">
        <v>120562</v>
      </c>
      <c r="E227" s="15">
        <v>1451</v>
      </c>
      <c r="F227" s="15">
        <f t="shared" si="78"/>
        <v>133032</v>
      </c>
      <c r="G227" s="15">
        <v>192</v>
      </c>
      <c r="H227" s="15">
        <v>6986</v>
      </c>
      <c r="I227" s="15">
        <v>6469</v>
      </c>
      <c r="J227" s="17">
        <v>0</v>
      </c>
      <c r="K227" s="17">
        <v>0</v>
      </c>
      <c r="L227" s="15">
        <f t="shared" si="79"/>
        <v>146679</v>
      </c>
      <c r="M227" s="15">
        <f t="shared" si="81"/>
        <v>148130</v>
      </c>
      <c r="N227" s="15">
        <v>130815</v>
      </c>
      <c r="O227" s="15">
        <v>47779</v>
      </c>
      <c r="P227" s="15">
        <f t="shared" si="80"/>
        <v>83036</v>
      </c>
      <c r="Q227" s="15">
        <f t="shared" si="82"/>
        <v>229715</v>
      </c>
    </row>
    <row r="228" spans="1:17" ht="12.75" x14ac:dyDescent="0.2">
      <c r="A228" s="20" t="s">
        <v>92</v>
      </c>
      <c r="B228" s="15">
        <v>10791</v>
      </c>
      <c r="C228" s="15">
        <v>2931</v>
      </c>
      <c r="D228" s="15">
        <f>164904-16265-10791-2931</f>
        <v>134917</v>
      </c>
      <c r="E228" s="15">
        <v>1574</v>
      </c>
      <c r="F228" s="15">
        <f t="shared" si="78"/>
        <v>147065</v>
      </c>
      <c r="G228" s="15">
        <v>195</v>
      </c>
      <c r="H228" s="15">
        <v>6010</v>
      </c>
      <c r="I228" s="15">
        <v>10063</v>
      </c>
      <c r="J228" s="17">
        <v>0</v>
      </c>
      <c r="K228" s="17">
        <v>0</v>
      </c>
      <c r="L228" s="15">
        <f t="shared" si="79"/>
        <v>163333</v>
      </c>
      <c r="M228" s="15">
        <f t="shared" si="81"/>
        <v>164907</v>
      </c>
      <c r="N228" s="15">
        <v>128907</v>
      </c>
      <c r="O228" s="15">
        <v>45972</v>
      </c>
      <c r="P228" s="15">
        <f t="shared" si="80"/>
        <v>82935</v>
      </c>
      <c r="Q228" s="15">
        <f t="shared" si="82"/>
        <v>246268</v>
      </c>
    </row>
    <row r="229" spans="1:17" ht="12.75" x14ac:dyDescent="0.2">
      <c r="A229" s="20" t="s">
        <v>93</v>
      </c>
      <c r="B229" s="15">
        <v>10814</v>
      </c>
      <c r="C229" s="15">
        <v>3069</v>
      </c>
      <c r="D229" s="15">
        <f>163384-16265-10814-3069</f>
        <v>133236</v>
      </c>
      <c r="E229" s="15">
        <v>1707</v>
      </c>
      <c r="F229" s="15">
        <f t="shared" si="78"/>
        <v>145412</v>
      </c>
      <c r="G229" s="15">
        <v>191</v>
      </c>
      <c r="H229" s="15">
        <v>6010</v>
      </c>
      <c r="I229" s="15">
        <v>10063</v>
      </c>
      <c r="J229" s="17">
        <v>0</v>
      </c>
      <c r="K229" s="17">
        <v>0</v>
      </c>
      <c r="L229" s="15">
        <f t="shared" si="79"/>
        <v>161676</v>
      </c>
      <c r="M229" s="15">
        <f t="shared" si="81"/>
        <v>163383</v>
      </c>
      <c r="N229" s="15">
        <v>145760</v>
      </c>
      <c r="O229" s="15">
        <v>49528</v>
      </c>
      <c r="P229" s="15">
        <f t="shared" si="80"/>
        <v>96232</v>
      </c>
      <c r="Q229" s="15">
        <f t="shared" si="82"/>
        <v>257908</v>
      </c>
    </row>
    <row r="230" spans="1:17" ht="12.75" x14ac:dyDescent="0.2">
      <c r="A230" s="20" t="s">
        <v>81</v>
      </c>
      <c r="B230" s="15">
        <v>10990</v>
      </c>
      <c r="C230" s="15">
        <v>3119</v>
      </c>
      <c r="D230" s="15">
        <f>245604-16265-10990-3119</f>
        <v>215230</v>
      </c>
      <c r="E230" s="15">
        <v>1673</v>
      </c>
      <c r="F230" s="15">
        <f t="shared" si="78"/>
        <v>227666</v>
      </c>
      <c r="G230" s="15">
        <v>194</v>
      </c>
      <c r="H230" s="15">
        <v>6010</v>
      </c>
      <c r="I230" s="15">
        <v>10063</v>
      </c>
      <c r="J230" s="17">
        <v>0</v>
      </c>
      <c r="K230" s="17">
        <v>0</v>
      </c>
      <c r="L230" s="15">
        <f t="shared" si="79"/>
        <v>243933</v>
      </c>
      <c r="M230" s="15">
        <f t="shared" si="81"/>
        <v>245606</v>
      </c>
      <c r="N230" s="15">
        <v>138724</v>
      </c>
      <c r="O230" s="15">
        <v>56761</v>
      </c>
      <c r="P230" s="15">
        <f t="shared" si="80"/>
        <v>81963</v>
      </c>
      <c r="Q230" s="15">
        <f t="shared" si="82"/>
        <v>325896</v>
      </c>
    </row>
    <row r="231" spans="1:17" ht="12.75" x14ac:dyDescent="0.2">
      <c r="A231" s="13" t="s">
        <v>47</v>
      </c>
      <c r="B231" s="15"/>
      <c r="C231" s="15"/>
      <c r="D231" s="15"/>
      <c r="E231" s="15"/>
      <c r="F231" s="15"/>
      <c r="G231" s="15"/>
      <c r="H231" s="15"/>
      <c r="I231" s="15"/>
      <c r="J231" s="15"/>
      <c r="K231" s="15"/>
      <c r="L231" s="15"/>
      <c r="M231" s="15"/>
      <c r="N231" s="15"/>
      <c r="O231" s="15"/>
      <c r="P231" s="15"/>
      <c r="Q231" s="15"/>
    </row>
    <row r="232" spans="1:17" ht="12.75" x14ac:dyDescent="0.2">
      <c r="A232" s="20" t="s">
        <v>86</v>
      </c>
      <c r="B232" s="15">
        <v>10947</v>
      </c>
      <c r="C232" s="15">
        <v>3107</v>
      </c>
      <c r="D232" s="15">
        <v>203210</v>
      </c>
      <c r="E232" s="15">
        <v>1364</v>
      </c>
      <c r="F232" s="15">
        <f t="shared" ref="F232:F243" si="83">B232+C232+D232-E232</f>
        <v>215900</v>
      </c>
      <c r="G232" s="15">
        <v>320</v>
      </c>
      <c r="H232" s="15">
        <v>6010</v>
      </c>
      <c r="I232" s="15">
        <v>10063</v>
      </c>
      <c r="J232" s="17">
        <v>0</v>
      </c>
      <c r="K232" s="17">
        <v>0</v>
      </c>
      <c r="L232" s="15">
        <f t="shared" ref="L232:L243" si="84">SUM(F232:K232)</f>
        <v>232293</v>
      </c>
      <c r="M232" s="15">
        <f t="shared" si="81"/>
        <v>233657</v>
      </c>
      <c r="N232" s="15">
        <v>150494</v>
      </c>
      <c r="O232" s="15">
        <v>57280</v>
      </c>
      <c r="P232" s="15">
        <f t="shared" ref="P232:P243" si="85">N232-O232</f>
        <v>93214</v>
      </c>
      <c r="Q232" s="15">
        <f t="shared" ref="Q232:Q243" si="86">L232+P232</f>
        <v>325507</v>
      </c>
    </row>
    <row r="233" spans="1:17" ht="12.75" x14ac:dyDescent="0.2">
      <c r="A233" s="20" t="s">
        <v>87</v>
      </c>
      <c r="B233" s="15">
        <v>10902</v>
      </c>
      <c r="C233" s="15">
        <v>3231</v>
      </c>
      <c r="D233" s="15">
        <v>215643</v>
      </c>
      <c r="E233" s="15">
        <v>1441</v>
      </c>
      <c r="F233" s="15">
        <f t="shared" si="83"/>
        <v>228335</v>
      </c>
      <c r="G233" s="15">
        <v>312</v>
      </c>
      <c r="H233" s="15">
        <v>6010</v>
      </c>
      <c r="I233" s="15">
        <v>10063</v>
      </c>
      <c r="J233" s="17">
        <v>0</v>
      </c>
      <c r="K233" s="17">
        <v>0</v>
      </c>
      <c r="L233" s="15">
        <f t="shared" si="84"/>
        <v>244720</v>
      </c>
      <c r="M233" s="15">
        <f t="shared" si="81"/>
        <v>246161</v>
      </c>
      <c r="N233" s="15">
        <v>157307</v>
      </c>
      <c r="O233" s="15">
        <v>60412</v>
      </c>
      <c r="P233" s="15">
        <f t="shared" si="85"/>
        <v>96895</v>
      </c>
      <c r="Q233" s="15">
        <f t="shared" si="86"/>
        <v>341615</v>
      </c>
    </row>
    <row r="234" spans="1:17" ht="12.75" x14ac:dyDescent="0.2">
      <c r="A234" s="20" t="s">
        <v>78</v>
      </c>
      <c r="B234" s="15">
        <v>10634</v>
      </c>
      <c r="C234" s="15">
        <v>3151</v>
      </c>
      <c r="D234" s="15">
        <v>293503</v>
      </c>
      <c r="E234" s="15">
        <v>2226</v>
      </c>
      <c r="F234" s="15">
        <f t="shared" si="83"/>
        <v>305062</v>
      </c>
      <c r="G234" s="15">
        <v>274</v>
      </c>
      <c r="H234" s="15">
        <v>6010</v>
      </c>
      <c r="I234" s="15">
        <v>10063</v>
      </c>
      <c r="J234" s="17">
        <v>0</v>
      </c>
      <c r="K234" s="17">
        <v>0</v>
      </c>
      <c r="L234" s="15">
        <f t="shared" si="84"/>
        <v>321409</v>
      </c>
      <c r="M234" s="15">
        <f t="shared" si="81"/>
        <v>323635</v>
      </c>
      <c r="N234" s="15">
        <v>167150</v>
      </c>
      <c r="O234" s="15">
        <v>69258</v>
      </c>
      <c r="P234" s="15">
        <f t="shared" si="85"/>
        <v>97892</v>
      </c>
      <c r="Q234" s="15">
        <f t="shared" si="86"/>
        <v>419301</v>
      </c>
    </row>
    <row r="235" spans="1:17" ht="12.75" x14ac:dyDescent="0.2">
      <c r="A235" s="20" t="s">
        <v>88</v>
      </c>
      <c r="B235" s="15">
        <v>10677</v>
      </c>
      <c r="C235" s="15">
        <v>3164</v>
      </c>
      <c r="D235" s="15">
        <v>276536</v>
      </c>
      <c r="E235" s="15">
        <v>2297</v>
      </c>
      <c r="F235" s="15">
        <f t="shared" si="83"/>
        <v>288080</v>
      </c>
      <c r="G235" s="15">
        <v>161</v>
      </c>
      <c r="H235" s="15">
        <v>6010</v>
      </c>
      <c r="I235" s="15">
        <v>10063</v>
      </c>
      <c r="J235" s="17">
        <v>0</v>
      </c>
      <c r="K235" s="17">
        <v>0</v>
      </c>
      <c r="L235" s="15">
        <f t="shared" si="84"/>
        <v>304314</v>
      </c>
      <c r="M235" s="15">
        <f t="shared" si="81"/>
        <v>306611</v>
      </c>
      <c r="N235" s="15">
        <v>169338</v>
      </c>
      <c r="O235" s="15">
        <v>63312</v>
      </c>
      <c r="P235" s="15">
        <f t="shared" si="85"/>
        <v>106026</v>
      </c>
      <c r="Q235" s="15">
        <f t="shared" si="86"/>
        <v>410340</v>
      </c>
    </row>
    <row r="236" spans="1:17" ht="12.75" x14ac:dyDescent="0.2">
      <c r="A236" s="20" t="s">
        <v>89</v>
      </c>
      <c r="B236" s="15">
        <v>10580</v>
      </c>
      <c r="C236" s="15">
        <v>3248</v>
      </c>
      <c r="D236" s="15">
        <v>264314</v>
      </c>
      <c r="E236" s="15">
        <v>2973</v>
      </c>
      <c r="F236" s="15">
        <f t="shared" si="83"/>
        <v>275169</v>
      </c>
      <c r="G236" s="15">
        <v>153</v>
      </c>
      <c r="H236" s="15">
        <v>6010</v>
      </c>
      <c r="I236" s="15">
        <v>10063</v>
      </c>
      <c r="J236" s="17">
        <v>0</v>
      </c>
      <c r="K236" s="17">
        <v>0</v>
      </c>
      <c r="L236" s="15">
        <f t="shared" si="84"/>
        <v>291395</v>
      </c>
      <c r="M236" s="15">
        <f t="shared" si="81"/>
        <v>294368</v>
      </c>
      <c r="N236" s="15">
        <v>153882</v>
      </c>
      <c r="O236" s="15">
        <v>59177</v>
      </c>
      <c r="P236" s="15">
        <f t="shared" si="85"/>
        <v>94705</v>
      </c>
      <c r="Q236" s="15">
        <f t="shared" si="86"/>
        <v>386100</v>
      </c>
    </row>
    <row r="237" spans="1:17" ht="12.75" x14ac:dyDescent="0.2">
      <c r="A237" s="20" t="s">
        <v>79</v>
      </c>
      <c r="B237" s="15">
        <v>10507</v>
      </c>
      <c r="C237" s="15">
        <v>3225</v>
      </c>
      <c r="D237" s="15">
        <v>211938</v>
      </c>
      <c r="E237" s="15">
        <v>4227</v>
      </c>
      <c r="F237" s="15">
        <f t="shared" si="83"/>
        <v>221443</v>
      </c>
      <c r="G237" s="15">
        <v>157</v>
      </c>
      <c r="H237" s="15">
        <v>6010</v>
      </c>
      <c r="I237" s="15">
        <v>10063</v>
      </c>
      <c r="J237" s="17">
        <v>0</v>
      </c>
      <c r="K237" s="15">
        <v>14000</v>
      </c>
      <c r="L237" s="15">
        <f t="shared" si="84"/>
        <v>251673</v>
      </c>
      <c r="M237" s="15">
        <f t="shared" si="81"/>
        <v>255900</v>
      </c>
      <c r="N237" s="15">
        <v>154996</v>
      </c>
      <c r="O237" s="15">
        <v>66311</v>
      </c>
      <c r="P237" s="15">
        <f t="shared" si="85"/>
        <v>88685</v>
      </c>
      <c r="Q237" s="15">
        <f t="shared" si="86"/>
        <v>340358</v>
      </c>
    </row>
    <row r="238" spans="1:17" ht="12.75" x14ac:dyDescent="0.2">
      <c r="A238" s="20" t="s">
        <v>90</v>
      </c>
      <c r="B238" s="15">
        <v>10618</v>
      </c>
      <c r="C238" s="15">
        <v>3259</v>
      </c>
      <c r="D238" s="15">
        <v>198939</v>
      </c>
      <c r="E238" s="15">
        <v>1964</v>
      </c>
      <c r="F238" s="15">
        <f t="shared" si="83"/>
        <v>210852</v>
      </c>
      <c r="G238" s="15">
        <v>156</v>
      </c>
      <c r="H238" s="15">
        <v>6010</v>
      </c>
      <c r="I238" s="15">
        <v>10063</v>
      </c>
      <c r="J238" s="17">
        <v>0</v>
      </c>
      <c r="K238" s="15">
        <v>14000</v>
      </c>
      <c r="L238" s="15">
        <f t="shared" si="84"/>
        <v>241081</v>
      </c>
      <c r="M238" s="15">
        <f t="shared" si="81"/>
        <v>243045</v>
      </c>
      <c r="N238" s="15">
        <v>158496</v>
      </c>
      <c r="O238" s="15">
        <v>75189</v>
      </c>
      <c r="P238" s="15">
        <f t="shared" si="85"/>
        <v>83307</v>
      </c>
      <c r="Q238" s="15">
        <f t="shared" si="86"/>
        <v>324388</v>
      </c>
    </row>
    <row r="239" spans="1:17" ht="12.75" x14ac:dyDescent="0.2">
      <c r="A239" s="20" t="s">
        <v>91</v>
      </c>
      <c r="B239" s="15">
        <v>10866</v>
      </c>
      <c r="C239" s="15">
        <v>3441</v>
      </c>
      <c r="D239" s="15">
        <v>182734</v>
      </c>
      <c r="E239" s="15">
        <v>2078</v>
      </c>
      <c r="F239" s="15">
        <f t="shared" si="83"/>
        <v>194963</v>
      </c>
      <c r="G239" s="15">
        <v>152</v>
      </c>
      <c r="H239" s="15">
        <v>6010</v>
      </c>
      <c r="I239" s="15">
        <v>10063</v>
      </c>
      <c r="J239" s="17">
        <v>0</v>
      </c>
      <c r="K239" s="15">
        <v>14000</v>
      </c>
      <c r="L239" s="15">
        <f t="shared" si="84"/>
        <v>225188</v>
      </c>
      <c r="M239" s="15">
        <f t="shared" si="81"/>
        <v>227266</v>
      </c>
      <c r="N239" s="15">
        <v>155340</v>
      </c>
      <c r="O239" s="15">
        <v>85371</v>
      </c>
      <c r="P239" s="15">
        <f t="shared" si="85"/>
        <v>69969</v>
      </c>
      <c r="Q239" s="15">
        <f t="shared" si="86"/>
        <v>295157</v>
      </c>
    </row>
    <row r="240" spans="1:17" ht="12.75" x14ac:dyDescent="0.2">
      <c r="A240" s="20" t="s">
        <v>80</v>
      </c>
      <c r="B240" s="15">
        <v>10873</v>
      </c>
      <c r="C240" s="15">
        <v>3443</v>
      </c>
      <c r="D240" s="15">
        <v>195415</v>
      </c>
      <c r="E240" s="15">
        <v>2108</v>
      </c>
      <c r="F240" s="15">
        <f t="shared" si="83"/>
        <v>207623</v>
      </c>
      <c r="G240" s="15">
        <v>146</v>
      </c>
      <c r="H240" s="15">
        <v>6010</v>
      </c>
      <c r="I240" s="15">
        <v>10063</v>
      </c>
      <c r="J240" s="17">
        <v>0</v>
      </c>
      <c r="K240" s="15">
        <v>14000</v>
      </c>
      <c r="L240" s="15">
        <f t="shared" si="84"/>
        <v>237842</v>
      </c>
      <c r="M240" s="15">
        <f t="shared" si="81"/>
        <v>239950</v>
      </c>
      <c r="N240" s="15">
        <v>142188</v>
      </c>
      <c r="O240" s="15">
        <v>89493</v>
      </c>
      <c r="P240" s="15">
        <f t="shared" si="85"/>
        <v>52695</v>
      </c>
      <c r="Q240" s="15">
        <f t="shared" si="86"/>
        <v>290537</v>
      </c>
    </row>
    <row r="241" spans="1:17" ht="12.75" x14ac:dyDescent="0.2">
      <c r="A241" s="20" t="s">
        <v>92</v>
      </c>
      <c r="B241" s="15">
        <v>10781</v>
      </c>
      <c r="C241" s="15">
        <v>3414</v>
      </c>
      <c r="D241" s="15">
        <v>175717</v>
      </c>
      <c r="E241" s="15">
        <v>3502</v>
      </c>
      <c r="F241" s="15">
        <f t="shared" si="83"/>
        <v>186410</v>
      </c>
      <c r="G241" s="15">
        <v>142</v>
      </c>
      <c r="H241" s="15">
        <v>6010</v>
      </c>
      <c r="I241" s="15">
        <v>10063</v>
      </c>
      <c r="J241" s="17">
        <v>0</v>
      </c>
      <c r="K241" s="15">
        <v>14000</v>
      </c>
      <c r="L241" s="15">
        <f t="shared" si="84"/>
        <v>216625</v>
      </c>
      <c r="M241" s="15">
        <f t="shared" si="81"/>
        <v>220127</v>
      </c>
      <c r="N241" s="15">
        <v>122274</v>
      </c>
      <c r="O241" s="15">
        <v>77707</v>
      </c>
      <c r="P241" s="15">
        <f t="shared" si="85"/>
        <v>44567</v>
      </c>
      <c r="Q241" s="15">
        <f t="shared" si="86"/>
        <v>261192</v>
      </c>
    </row>
    <row r="242" spans="1:17" ht="12.75" x14ac:dyDescent="0.2">
      <c r="A242" s="20" t="s">
        <v>93</v>
      </c>
      <c r="B242" s="15">
        <v>10680</v>
      </c>
      <c r="C242" s="15">
        <v>3443</v>
      </c>
      <c r="D242" s="15">
        <v>153907</v>
      </c>
      <c r="E242" s="15">
        <v>3465</v>
      </c>
      <c r="F242" s="15">
        <f t="shared" si="83"/>
        <v>164565</v>
      </c>
      <c r="G242" s="15">
        <v>138</v>
      </c>
      <c r="H242" s="15">
        <v>6010</v>
      </c>
      <c r="I242" s="15">
        <v>10063</v>
      </c>
      <c r="J242" s="17">
        <v>0</v>
      </c>
      <c r="K242" s="15">
        <v>14000</v>
      </c>
      <c r="L242" s="15">
        <f t="shared" si="84"/>
        <v>194776</v>
      </c>
      <c r="M242" s="15">
        <f t="shared" si="81"/>
        <v>198241</v>
      </c>
      <c r="N242" s="15">
        <v>126227</v>
      </c>
      <c r="O242" s="15">
        <v>81326</v>
      </c>
      <c r="P242" s="15">
        <f t="shared" si="85"/>
        <v>44901</v>
      </c>
      <c r="Q242" s="15">
        <f t="shared" si="86"/>
        <v>239677</v>
      </c>
    </row>
    <row r="243" spans="1:17" ht="12.75" x14ac:dyDescent="0.2">
      <c r="A243" s="20" t="s">
        <v>81</v>
      </c>
      <c r="B243" s="15">
        <v>10591</v>
      </c>
      <c r="C243" s="15">
        <v>3441</v>
      </c>
      <c r="D243" s="15">
        <v>194370</v>
      </c>
      <c r="E243" s="15">
        <v>2936</v>
      </c>
      <c r="F243" s="15">
        <f t="shared" si="83"/>
        <v>205466</v>
      </c>
      <c r="G243" s="15">
        <v>130</v>
      </c>
      <c r="H243" s="15">
        <v>6398</v>
      </c>
      <c r="I243" s="15">
        <v>11262</v>
      </c>
      <c r="J243" s="17">
        <v>0</v>
      </c>
      <c r="K243" s="15">
        <v>14000</v>
      </c>
      <c r="L243" s="15">
        <f t="shared" si="84"/>
        <v>237256</v>
      </c>
      <c r="M243" s="15">
        <f t="shared" si="81"/>
        <v>240192</v>
      </c>
      <c r="N243" s="15">
        <v>133739</v>
      </c>
      <c r="O243" s="15">
        <v>76773</v>
      </c>
      <c r="P243" s="15">
        <f t="shared" si="85"/>
        <v>56966</v>
      </c>
      <c r="Q243" s="15">
        <f t="shared" si="86"/>
        <v>294222</v>
      </c>
    </row>
    <row r="244" spans="1:17" ht="15" customHeight="1" x14ac:dyDescent="0.2">
      <c r="A244" s="13" t="s">
        <v>49</v>
      </c>
      <c r="B244" s="15"/>
      <c r="C244" s="15"/>
      <c r="D244" s="15"/>
      <c r="E244" s="15"/>
      <c r="F244" s="15"/>
      <c r="G244" s="15"/>
      <c r="H244" s="15"/>
      <c r="I244" s="15"/>
      <c r="J244" s="15"/>
      <c r="K244" s="15"/>
      <c r="L244" s="15"/>
      <c r="M244" s="15"/>
      <c r="N244" s="15"/>
      <c r="O244" s="15"/>
      <c r="P244" s="15"/>
      <c r="Q244" s="15"/>
    </row>
    <row r="245" spans="1:17" ht="12.75" x14ac:dyDescent="0.2">
      <c r="A245" s="20" t="s">
        <v>86</v>
      </c>
      <c r="B245" s="15">
        <v>10477</v>
      </c>
      <c r="C245" s="15">
        <v>2598</v>
      </c>
      <c r="D245" s="15">
        <v>219433</v>
      </c>
      <c r="E245" s="15">
        <v>5498</v>
      </c>
      <c r="F245" s="15">
        <f t="shared" ref="F245:F256" si="87">B245+C245+D245-E245</f>
        <v>227010</v>
      </c>
      <c r="G245" s="15">
        <v>107</v>
      </c>
      <c r="H245" s="15">
        <v>4176</v>
      </c>
      <c r="I245" s="15">
        <v>11300</v>
      </c>
      <c r="J245" s="17">
        <v>0</v>
      </c>
      <c r="K245" s="15">
        <v>14000</v>
      </c>
      <c r="L245" s="15">
        <f t="shared" ref="L245:L269" si="88">SUM(F245:K245)</f>
        <v>256593</v>
      </c>
      <c r="M245" s="15">
        <f t="shared" si="81"/>
        <v>262091</v>
      </c>
      <c r="N245" s="15">
        <v>144043</v>
      </c>
      <c r="O245" s="15">
        <v>77871</v>
      </c>
      <c r="P245" s="15">
        <f t="shared" ref="P245:P256" si="89">N245-O245</f>
        <v>66172</v>
      </c>
      <c r="Q245" s="15">
        <f t="shared" ref="Q245:Q256" si="90">L245+P245</f>
        <v>322765</v>
      </c>
    </row>
    <row r="246" spans="1:17" ht="12.75" x14ac:dyDescent="0.2">
      <c r="A246" s="20" t="s">
        <v>87</v>
      </c>
      <c r="B246" s="15">
        <v>10473</v>
      </c>
      <c r="C246" s="15">
        <v>2604</v>
      </c>
      <c r="D246" s="15">
        <v>180556</v>
      </c>
      <c r="E246" s="15">
        <v>5355</v>
      </c>
      <c r="F246" s="15">
        <f t="shared" si="87"/>
        <v>188278</v>
      </c>
      <c r="G246" s="15">
        <v>252</v>
      </c>
      <c r="H246" s="15">
        <v>4186</v>
      </c>
      <c r="I246" s="15">
        <v>11410</v>
      </c>
      <c r="J246" s="17">
        <v>0</v>
      </c>
      <c r="K246" s="15">
        <v>14000</v>
      </c>
      <c r="L246" s="15">
        <f t="shared" si="88"/>
        <v>218126</v>
      </c>
      <c r="M246" s="15">
        <f t="shared" si="81"/>
        <v>223481</v>
      </c>
      <c r="N246" s="15">
        <v>143030</v>
      </c>
      <c r="O246" s="15">
        <v>91046</v>
      </c>
      <c r="P246" s="15">
        <f t="shared" si="89"/>
        <v>51984</v>
      </c>
      <c r="Q246" s="15">
        <f t="shared" si="90"/>
        <v>270110</v>
      </c>
    </row>
    <row r="247" spans="1:17" ht="12.75" x14ac:dyDescent="0.2">
      <c r="A247" s="20" t="s">
        <v>78</v>
      </c>
      <c r="B247" s="15">
        <v>10517</v>
      </c>
      <c r="C247" s="15">
        <v>3482</v>
      </c>
      <c r="D247" s="15">
        <v>152717</v>
      </c>
      <c r="E247" s="15">
        <v>3049</v>
      </c>
      <c r="F247" s="15">
        <f t="shared" si="87"/>
        <v>163667</v>
      </c>
      <c r="G247" s="15">
        <v>247</v>
      </c>
      <c r="H247" s="15">
        <v>4174</v>
      </c>
      <c r="I247" s="15">
        <v>11166</v>
      </c>
      <c r="J247" s="17">
        <v>0</v>
      </c>
      <c r="K247" s="15">
        <v>14000</v>
      </c>
      <c r="L247" s="15">
        <f t="shared" si="88"/>
        <v>193254</v>
      </c>
      <c r="M247" s="15">
        <f t="shared" si="81"/>
        <v>196303</v>
      </c>
      <c r="N247" s="15">
        <v>163631</v>
      </c>
      <c r="O247" s="15">
        <v>88554</v>
      </c>
      <c r="P247" s="15">
        <f t="shared" si="89"/>
        <v>75077</v>
      </c>
      <c r="Q247" s="15">
        <f t="shared" si="90"/>
        <v>268331</v>
      </c>
    </row>
    <row r="248" spans="1:17" ht="12.75" x14ac:dyDescent="0.2">
      <c r="A248" s="20" t="s">
        <v>88</v>
      </c>
      <c r="B248" s="15">
        <v>10693</v>
      </c>
      <c r="C248" s="15">
        <v>3540</v>
      </c>
      <c r="D248" s="15">
        <v>197105</v>
      </c>
      <c r="E248" s="15">
        <v>3038</v>
      </c>
      <c r="F248" s="15">
        <f t="shared" si="87"/>
        <v>208300</v>
      </c>
      <c r="G248" s="15">
        <v>199</v>
      </c>
      <c r="H248" s="15">
        <v>4196</v>
      </c>
      <c r="I248" s="15">
        <v>11352</v>
      </c>
      <c r="J248" s="17">
        <v>0</v>
      </c>
      <c r="K248" s="15">
        <v>26000</v>
      </c>
      <c r="L248" s="15">
        <f t="shared" si="88"/>
        <v>250047</v>
      </c>
      <c r="M248" s="15">
        <f t="shared" si="81"/>
        <v>253085</v>
      </c>
      <c r="N248" s="15">
        <v>147258</v>
      </c>
      <c r="O248" s="15">
        <v>88126</v>
      </c>
      <c r="P248" s="15">
        <f t="shared" si="89"/>
        <v>59132</v>
      </c>
      <c r="Q248" s="15">
        <f t="shared" si="90"/>
        <v>309179</v>
      </c>
    </row>
    <row r="249" spans="1:17" ht="12.75" x14ac:dyDescent="0.2">
      <c r="A249" s="20" t="s">
        <v>89</v>
      </c>
      <c r="B249" s="15">
        <v>10887</v>
      </c>
      <c r="C249" s="15">
        <v>3670</v>
      </c>
      <c r="D249" s="15">
        <v>174503</v>
      </c>
      <c r="E249" s="15">
        <v>2028</v>
      </c>
      <c r="F249" s="15">
        <f t="shared" si="87"/>
        <v>187032</v>
      </c>
      <c r="G249" s="15">
        <v>202</v>
      </c>
      <c r="H249" s="15">
        <v>4210</v>
      </c>
      <c r="I249" s="15">
        <v>11414</v>
      </c>
      <c r="J249" s="17">
        <v>0</v>
      </c>
      <c r="K249" s="15">
        <v>26000</v>
      </c>
      <c r="L249" s="15">
        <f t="shared" si="88"/>
        <v>228858</v>
      </c>
      <c r="M249" s="15">
        <f t="shared" si="81"/>
        <v>230886</v>
      </c>
      <c r="N249" s="15">
        <v>135321</v>
      </c>
      <c r="O249" s="15">
        <v>95585</v>
      </c>
      <c r="P249" s="15">
        <f t="shared" si="89"/>
        <v>39736</v>
      </c>
      <c r="Q249" s="15">
        <f t="shared" si="90"/>
        <v>268594</v>
      </c>
    </row>
    <row r="250" spans="1:17" ht="12.75" x14ac:dyDescent="0.2">
      <c r="A250" s="20" t="s">
        <v>79</v>
      </c>
      <c r="B250" s="15">
        <v>11223</v>
      </c>
      <c r="C250" s="15">
        <v>3783</v>
      </c>
      <c r="D250" s="15">
        <v>138916</v>
      </c>
      <c r="E250" s="15">
        <v>2151</v>
      </c>
      <c r="F250" s="15">
        <f t="shared" si="87"/>
        <v>151771</v>
      </c>
      <c r="G250" s="15">
        <v>203</v>
      </c>
      <c r="H250" s="15">
        <v>4242</v>
      </c>
      <c r="I250" s="15">
        <v>11566</v>
      </c>
      <c r="J250" s="17">
        <v>0</v>
      </c>
      <c r="K250" s="15">
        <v>26000</v>
      </c>
      <c r="L250" s="15">
        <f t="shared" si="88"/>
        <v>193782</v>
      </c>
      <c r="M250" s="15">
        <f t="shared" si="81"/>
        <v>195933</v>
      </c>
      <c r="N250" s="15">
        <v>133892</v>
      </c>
      <c r="O250" s="15">
        <v>87847</v>
      </c>
      <c r="P250" s="15">
        <f t="shared" si="89"/>
        <v>46045</v>
      </c>
      <c r="Q250" s="15">
        <f t="shared" si="90"/>
        <v>239827</v>
      </c>
    </row>
    <row r="251" spans="1:17" ht="12.75" x14ac:dyDescent="0.2">
      <c r="A251" s="20" t="s">
        <v>90</v>
      </c>
      <c r="B251" s="15">
        <v>11155</v>
      </c>
      <c r="C251" s="15">
        <v>3760</v>
      </c>
      <c r="D251" s="15">
        <v>122222</v>
      </c>
      <c r="E251" s="15">
        <v>1750</v>
      </c>
      <c r="F251" s="15">
        <f t="shared" si="87"/>
        <v>135387</v>
      </c>
      <c r="G251" s="15">
        <v>211</v>
      </c>
      <c r="H251" s="15">
        <v>4266</v>
      </c>
      <c r="I251" s="15">
        <v>11768</v>
      </c>
      <c r="J251" s="17">
        <v>0</v>
      </c>
      <c r="K251" s="15">
        <v>26000</v>
      </c>
      <c r="L251" s="15">
        <f t="shared" si="88"/>
        <v>177632</v>
      </c>
      <c r="M251" s="15">
        <f t="shared" si="81"/>
        <v>179382</v>
      </c>
      <c r="N251" s="15">
        <v>166434</v>
      </c>
      <c r="O251" s="15">
        <v>124986</v>
      </c>
      <c r="P251" s="15">
        <f t="shared" si="89"/>
        <v>41448</v>
      </c>
      <c r="Q251" s="15">
        <f t="shared" si="90"/>
        <v>219080</v>
      </c>
    </row>
    <row r="252" spans="1:17" ht="12.75" x14ac:dyDescent="0.2">
      <c r="A252" s="20" t="s">
        <v>91</v>
      </c>
      <c r="B252" s="15">
        <v>11198</v>
      </c>
      <c r="C252" s="15">
        <v>3853</v>
      </c>
      <c r="D252" s="15">
        <v>188123</v>
      </c>
      <c r="E252" s="15">
        <v>1834</v>
      </c>
      <c r="F252" s="15">
        <f t="shared" si="87"/>
        <v>201340</v>
      </c>
      <c r="G252" s="15">
        <v>208</v>
      </c>
      <c r="H252" s="15">
        <v>4280</v>
      </c>
      <c r="I252" s="15">
        <v>12052</v>
      </c>
      <c r="J252" s="17">
        <v>0</v>
      </c>
      <c r="K252" s="15">
        <v>18000</v>
      </c>
      <c r="L252" s="15">
        <f t="shared" si="88"/>
        <v>235880</v>
      </c>
      <c r="M252" s="15">
        <f t="shared" si="81"/>
        <v>237714</v>
      </c>
      <c r="N252" s="15">
        <v>121928</v>
      </c>
      <c r="O252" s="15">
        <v>83311</v>
      </c>
      <c r="P252" s="15">
        <f t="shared" si="89"/>
        <v>38617</v>
      </c>
      <c r="Q252" s="15">
        <f t="shared" si="90"/>
        <v>274497</v>
      </c>
    </row>
    <row r="253" spans="1:17" ht="12.75" x14ac:dyDescent="0.2">
      <c r="A253" s="20" t="s">
        <v>80</v>
      </c>
      <c r="B253" s="15">
        <v>11157</v>
      </c>
      <c r="C253" s="15">
        <v>3839</v>
      </c>
      <c r="D253" s="15">
        <v>180418</v>
      </c>
      <c r="E253" s="15">
        <v>1467</v>
      </c>
      <c r="F253" s="15">
        <f t="shared" si="87"/>
        <v>193947</v>
      </c>
      <c r="G253" s="15">
        <v>210</v>
      </c>
      <c r="H253" s="15">
        <v>4296</v>
      </c>
      <c r="I253" s="15">
        <v>12308</v>
      </c>
      <c r="J253" s="17">
        <v>0</v>
      </c>
      <c r="K253" s="15">
        <v>12000</v>
      </c>
      <c r="L253" s="15">
        <f t="shared" si="88"/>
        <v>222761</v>
      </c>
      <c r="M253" s="15">
        <f t="shared" si="81"/>
        <v>224228</v>
      </c>
      <c r="N253" s="15">
        <v>116602</v>
      </c>
      <c r="O253" s="15">
        <v>93096</v>
      </c>
      <c r="P253" s="15">
        <f t="shared" si="89"/>
        <v>23506</v>
      </c>
      <c r="Q253" s="15">
        <f t="shared" si="90"/>
        <v>246267</v>
      </c>
    </row>
    <row r="254" spans="1:17" ht="12.75" x14ac:dyDescent="0.2">
      <c r="A254" s="20" t="s">
        <v>92</v>
      </c>
      <c r="B254" s="15">
        <v>11148</v>
      </c>
      <c r="C254" s="15">
        <v>3836</v>
      </c>
      <c r="D254" s="15">
        <v>140823</v>
      </c>
      <c r="E254" s="15">
        <v>2092</v>
      </c>
      <c r="F254" s="15">
        <f t="shared" si="87"/>
        <v>153715</v>
      </c>
      <c r="G254" s="15">
        <v>203</v>
      </c>
      <c r="H254" s="15">
        <v>4300</v>
      </c>
      <c r="I254" s="15">
        <v>12134</v>
      </c>
      <c r="J254" s="17">
        <v>0</v>
      </c>
      <c r="K254" s="15">
        <v>12000</v>
      </c>
      <c r="L254" s="15">
        <f t="shared" si="88"/>
        <v>182352</v>
      </c>
      <c r="M254" s="15">
        <f t="shared" si="81"/>
        <v>184444</v>
      </c>
      <c r="N254" s="15">
        <v>105081</v>
      </c>
      <c r="O254" s="15">
        <v>75617</v>
      </c>
      <c r="P254" s="15">
        <f t="shared" si="89"/>
        <v>29464</v>
      </c>
      <c r="Q254" s="15">
        <f t="shared" si="90"/>
        <v>211816</v>
      </c>
    </row>
    <row r="255" spans="1:17" ht="12.75" x14ac:dyDescent="0.2">
      <c r="A255" s="20" t="s">
        <v>93</v>
      </c>
      <c r="B255" s="15">
        <v>11175</v>
      </c>
      <c r="C255" s="15">
        <v>3915</v>
      </c>
      <c r="D255" s="15">
        <v>128518</v>
      </c>
      <c r="E255" s="15">
        <v>1450</v>
      </c>
      <c r="F255" s="15">
        <f t="shared" si="87"/>
        <v>142158</v>
      </c>
      <c r="G255" s="15">
        <v>196</v>
      </c>
      <c r="H255" s="15">
        <v>4300</v>
      </c>
      <c r="I255" s="15">
        <v>12046</v>
      </c>
      <c r="J255" s="17">
        <v>0</v>
      </c>
      <c r="K255" s="15">
        <v>7000</v>
      </c>
      <c r="L255" s="15">
        <f t="shared" si="88"/>
        <v>165700</v>
      </c>
      <c r="M255" s="15">
        <f t="shared" si="81"/>
        <v>167150</v>
      </c>
      <c r="N255" s="15">
        <v>106961</v>
      </c>
      <c r="O255" s="15">
        <v>86497</v>
      </c>
      <c r="P255" s="15">
        <f t="shared" si="89"/>
        <v>20464</v>
      </c>
      <c r="Q255" s="15">
        <f t="shared" si="90"/>
        <v>186164</v>
      </c>
    </row>
    <row r="256" spans="1:17" ht="12.75" x14ac:dyDescent="0.2">
      <c r="A256" s="20" t="s">
        <v>81</v>
      </c>
      <c r="B256" s="15">
        <v>11428</v>
      </c>
      <c r="C256" s="15">
        <v>4003</v>
      </c>
      <c r="D256" s="15">
        <v>197089</v>
      </c>
      <c r="E256" s="15">
        <v>5986</v>
      </c>
      <c r="F256" s="15">
        <f t="shared" si="87"/>
        <v>206534</v>
      </c>
      <c r="G256" s="15">
        <v>173</v>
      </c>
      <c r="H256" s="15">
        <v>4330</v>
      </c>
      <c r="I256" s="15">
        <v>12318</v>
      </c>
      <c r="J256" s="17">
        <v>0</v>
      </c>
      <c r="K256" s="17">
        <v>0</v>
      </c>
      <c r="L256" s="15">
        <f t="shared" si="88"/>
        <v>223355</v>
      </c>
      <c r="M256" s="15">
        <f t="shared" si="81"/>
        <v>229341</v>
      </c>
      <c r="N256" s="15">
        <v>113469</v>
      </c>
      <c r="O256" s="15">
        <v>80521</v>
      </c>
      <c r="P256" s="15">
        <f t="shared" si="89"/>
        <v>32948</v>
      </c>
      <c r="Q256" s="15">
        <f t="shared" si="90"/>
        <v>256303</v>
      </c>
    </row>
    <row r="257" spans="1:17" ht="12.75" x14ac:dyDescent="0.2">
      <c r="A257" s="13" t="s">
        <v>55</v>
      </c>
      <c r="B257" s="15"/>
      <c r="C257" s="15"/>
      <c r="D257" s="15"/>
      <c r="E257" s="15"/>
      <c r="F257" s="15"/>
      <c r="G257" s="15"/>
      <c r="H257" s="15"/>
      <c r="I257" s="15"/>
      <c r="J257" s="15"/>
      <c r="K257" s="15"/>
      <c r="L257" s="15"/>
      <c r="M257" s="15"/>
      <c r="N257" s="15"/>
      <c r="O257" s="15"/>
      <c r="P257" s="15"/>
      <c r="Q257" s="15"/>
    </row>
    <row r="258" spans="1:17" ht="12.75" x14ac:dyDescent="0.2">
      <c r="A258" s="20" t="s">
        <v>86</v>
      </c>
      <c r="B258" s="15">
        <v>11611</v>
      </c>
      <c r="C258" s="15">
        <v>4068</v>
      </c>
      <c r="D258" s="15">
        <v>186752</v>
      </c>
      <c r="E258" s="15">
        <v>2237</v>
      </c>
      <c r="F258" s="15">
        <f t="shared" ref="F258:F269" si="91">B258+C258+D258-E258</f>
        <v>200194</v>
      </c>
      <c r="G258" s="15">
        <v>175</v>
      </c>
      <c r="H258" s="15">
        <v>4330</v>
      </c>
      <c r="I258" s="15">
        <v>12198</v>
      </c>
      <c r="J258" s="17">
        <v>0</v>
      </c>
      <c r="K258" s="17">
        <v>0</v>
      </c>
      <c r="L258" s="15">
        <f t="shared" si="88"/>
        <v>216897</v>
      </c>
      <c r="M258" s="15">
        <f t="shared" si="81"/>
        <v>219134</v>
      </c>
      <c r="N258" s="15">
        <v>129758</v>
      </c>
      <c r="O258" s="15">
        <v>81580</v>
      </c>
      <c r="P258" s="15">
        <f t="shared" ref="P258:P269" si="92">N258-O258</f>
        <v>48178</v>
      </c>
      <c r="Q258" s="15">
        <f t="shared" ref="Q258:Q269" si="93">L258+P258</f>
        <v>265075</v>
      </c>
    </row>
    <row r="259" spans="1:17" ht="12.75" x14ac:dyDescent="0.2">
      <c r="A259" s="20" t="s">
        <v>87</v>
      </c>
      <c r="B259" s="15">
        <v>11563</v>
      </c>
      <c r="C259" s="15">
        <v>4114</v>
      </c>
      <c r="D259" s="15">
        <v>156537</v>
      </c>
      <c r="E259" s="15">
        <v>1802</v>
      </c>
      <c r="F259" s="15">
        <f t="shared" si="91"/>
        <v>170412</v>
      </c>
      <c r="G259" s="15">
        <v>173</v>
      </c>
      <c r="H259" s="15">
        <v>4330</v>
      </c>
      <c r="I259" s="15">
        <v>12198</v>
      </c>
      <c r="J259" s="17">
        <v>0</v>
      </c>
      <c r="K259" s="17">
        <v>0</v>
      </c>
      <c r="L259" s="15">
        <f t="shared" si="88"/>
        <v>187113</v>
      </c>
      <c r="M259" s="15">
        <f t="shared" si="81"/>
        <v>188915</v>
      </c>
      <c r="N259" s="15">
        <v>139235</v>
      </c>
      <c r="O259" s="15">
        <v>75708</v>
      </c>
      <c r="P259" s="15">
        <f t="shared" si="92"/>
        <v>63527</v>
      </c>
      <c r="Q259" s="15">
        <f t="shared" si="93"/>
        <v>250640</v>
      </c>
    </row>
    <row r="260" spans="1:17" ht="12.75" x14ac:dyDescent="0.2">
      <c r="A260" s="20" t="s">
        <v>78</v>
      </c>
      <c r="B260" s="15">
        <v>11588</v>
      </c>
      <c r="C260" s="15">
        <v>4123</v>
      </c>
      <c r="D260" s="15">
        <v>122070</v>
      </c>
      <c r="E260" s="15">
        <v>1835</v>
      </c>
      <c r="F260" s="15">
        <f t="shared" si="91"/>
        <v>135946</v>
      </c>
      <c r="G260" s="15">
        <v>160</v>
      </c>
      <c r="H260" s="15">
        <v>4348</v>
      </c>
      <c r="I260" s="15">
        <v>12264</v>
      </c>
      <c r="J260" s="17">
        <v>0</v>
      </c>
      <c r="K260" s="15">
        <v>9118</v>
      </c>
      <c r="L260" s="15">
        <f t="shared" si="88"/>
        <v>161836</v>
      </c>
      <c r="M260" s="15">
        <f t="shared" si="81"/>
        <v>163671</v>
      </c>
      <c r="N260" s="15">
        <v>142278</v>
      </c>
      <c r="O260" s="15">
        <v>80133</v>
      </c>
      <c r="P260" s="15">
        <f t="shared" si="92"/>
        <v>62145</v>
      </c>
      <c r="Q260" s="15">
        <f t="shared" si="93"/>
        <v>223981</v>
      </c>
    </row>
    <row r="261" spans="1:17" ht="12.75" x14ac:dyDescent="0.2">
      <c r="A261" s="20" t="s">
        <v>88</v>
      </c>
      <c r="B261" s="15">
        <v>11673</v>
      </c>
      <c r="C261" s="15">
        <v>4153</v>
      </c>
      <c r="D261" s="15">
        <v>113320</v>
      </c>
      <c r="E261" s="15">
        <v>3103</v>
      </c>
      <c r="F261" s="15">
        <f t="shared" si="91"/>
        <v>126043</v>
      </c>
      <c r="G261" s="15">
        <v>167</v>
      </c>
      <c r="H261" s="15">
        <v>4348</v>
      </c>
      <c r="I261" s="15">
        <v>12264</v>
      </c>
      <c r="J261" s="17">
        <v>0</v>
      </c>
      <c r="K261" s="17">
        <v>0</v>
      </c>
      <c r="L261" s="15">
        <f t="shared" si="88"/>
        <v>142822</v>
      </c>
      <c r="M261" s="15">
        <f t="shared" si="81"/>
        <v>145925</v>
      </c>
      <c r="N261" s="15">
        <v>124816</v>
      </c>
      <c r="O261" s="15">
        <v>76941</v>
      </c>
      <c r="P261" s="15">
        <f t="shared" si="92"/>
        <v>47875</v>
      </c>
      <c r="Q261" s="15">
        <f t="shared" si="93"/>
        <v>190697</v>
      </c>
    </row>
    <row r="262" spans="1:17" ht="12.75" x14ac:dyDescent="0.2">
      <c r="A262" s="20" t="s">
        <v>89</v>
      </c>
      <c r="B262" s="15">
        <v>11978</v>
      </c>
      <c r="C262" s="15">
        <v>4319</v>
      </c>
      <c r="D262" s="15">
        <v>126591</v>
      </c>
      <c r="E262" s="15">
        <v>3560</v>
      </c>
      <c r="F262" s="15">
        <f t="shared" si="91"/>
        <v>139328</v>
      </c>
      <c r="G262" s="15">
        <v>170</v>
      </c>
      <c r="H262" s="15">
        <v>4348</v>
      </c>
      <c r="I262" s="15">
        <v>12264</v>
      </c>
      <c r="J262" s="17">
        <v>0</v>
      </c>
      <c r="K262" s="17">
        <v>0</v>
      </c>
      <c r="L262" s="15">
        <f t="shared" si="88"/>
        <v>156110</v>
      </c>
      <c r="M262" s="15">
        <f t="shared" si="81"/>
        <v>159670</v>
      </c>
      <c r="N262" s="15">
        <v>118607</v>
      </c>
      <c r="O262" s="15">
        <v>76204</v>
      </c>
      <c r="P262" s="15">
        <f t="shared" si="92"/>
        <v>42403</v>
      </c>
      <c r="Q262" s="15">
        <f t="shared" si="93"/>
        <v>198513</v>
      </c>
    </row>
    <row r="263" spans="1:17" ht="12.75" x14ac:dyDescent="0.2">
      <c r="A263" s="20" t="s">
        <v>79</v>
      </c>
      <c r="B263" s="15">
        <v>11817</v>
      </c>
      <c r="C263" s="15">
        <v>4261</v>
      </c>
      <c r="D263" s="15">
        <v>207312</v>
      </c>
      <c r="E263" s="15">
        <v>3529</v>
      </c>
      <c r="F263" s="15">
        <f t="shared" si="91"/>
        <v>219861</v>
      </c>
      <c r="G263" s="15">
        <v>177</v>
      </c>
      <c r="H263" s="15">
        <v>4348</v>
      </c>
      <c r="I263" s="15">
        <v>12264</v>
      </c>
      <c r="J263" s="17">
        <v>0</v>
      </c>
      <c r="K263" s="17">
        <v>0</v>
      </c>
      <c r="L263" s="15">
        <f t="shared" si="88"/>
        <v>236650</v>
      </c>
      <c r="M263" s="15">
        <f t="shared" si="81"/>
        <v>240179</v>
      </c>
      <c r="N263" s="15">
        <v>111631</v>
      </c>
      <c r="O263" s="15">
        <v>84312</v>
      </c>
      <c r="P263" s="15">
        <f t="shared" si="92"/>
        <v>27319</v>
      </c>
      <c r="Q263" s="15">
        <f t="shared" si="93"/>
        <v>263969</v>
      </c>
    </row>
    <row r="264" spans="1:17" ht="12.75" x14ac:dyDescent="0.2">
      <c r="A264" s="20" t="s">
        <v>90</v>
      </c>
      <c r="B264" s="15">
        <v>11741</v>
      </c>
      <c r="C264" s="15">
        <v>4233</v>
      </c>
      <c r="D264" s="15">
        <v>198356</v>
      </c>
      <c r="E264" s="15">
        <v>3825</v>
      </c>
      <c r="F264" s="15">
        <f t="shared" si="91"/>
        <v>210505</v>
      </c>
      <c r="G264" s="15">
        <v>168</v>
      </c>
      <c r="H264" s="15">
        <v>4348</v>
      </c>
      <c r="I264" s="15">
        <v>12264</v>
      </c>
      <c r="J264" s="17">
        <v>0</v>
      </c>
      <c r="K264" s="17">
        <v>0</v>
      </c>
      <c r="L264" s="15">
        <f t="shared" si="88"/>
        <v>227285</v>
      </c>
      <c r="M264" s="15">
        <f t="shared" si="81"/>
        <v>231110</v>
      </c>
      <c r="N264" s="15">
        <v>111595</v>
      </c>
      <c r="O264" s="15">
        <v>77859</v>
      </c>
      <c r="P264" s="15">
        <f t="shared" si="92"/>
        <v>33736</v>
      </c>
      <c r="Q264" s="15">
        <f t="shared" si="93"/>
        <v>261021</v>
      </c>
    </row>
    <row r="265" spans="1:17" ht="12.75" x14ac:dyDescent="0.2">
      <c r="A265" s="20" t="s">
        <v>91</v>
      </c>
      <c r="B265" s="15">
        <v>11618</v>
      </c>
      <c r="C265" s="15">
        <v>4241</v>
      </c>
      <c r="D265" s="15">
        <v>162588</v>
      </c>
      <c r="E265" s="15">
        <v>5540</v>
      </c>
      <c r="F265" s="15">
        <f t="shared" si="91"/>
        <v>172907</v>
      </c>
      <c r="G265" s="15">
        <v>163</v>
      </c>
      <c r="H265" s="15">
        <v>4348</v>
      </c>
      <c r="I265" s="15">
        <v>12264</v>
      </c>
      <c r="J265" s="17">
        <v>0</v>
      </c>
      <c r="K265" s="17">
        <v>0</v>
      </c>
      <c r="L265" s="15">
        <f t="shared" si="88"/>
        <v>189682</v>
      </c>
      <c r="M265" s="15">
        <f t="shared" si="81"/>
        <v>195222</v>
      </c>
      <c r="N265" s="15">
        <v>105301</v>
      </c>
      <c r="O265" s="15">
        <v>83878</v>
      </c>
      <c r="P265" s="15">
        <f t="shared" si="92"/>
        <v>21423</v>
      </c>
      <c r="Q265" s="15">
        <f t="shared" si="93"/>
        <v>211105</v>
      </c>
    </row>
    <row r="266" spans="1:17" ht="12.75" x14ac:dyDescent="0.2">
      <c r="A266" s="20" t="s">
        <v>80</v>
      </c>
      <c r="B266" s="15">
        <v>12061</v>
      </c>
      <c r="C266" s="15">
        <v>4403</v>
      </c>
      <c r="D266" s="15">
        <v>123805</v>
      </c>
      <c r="E266" s="15">
        <v>5545</v>
      </c>
      <c r="F266" s="15">
        <f t="shared" si="91"/>
        <v>134724</v>
      </c>
      <c r="G266" s="15">
        <v>163</v>
      </c>
      <c r="H266" s="15">
        <v>4348</v>
      </c>
      <c r="I266" s="15">
        <v>12264</v>
      </c>
      <c r="J266" s="17">
        <v>0</v>
      </c>
      <c r="K266" s="17">
        <v>0</v>
      </c>
      <c r="L266" s="15">
        <f t="shared" si="88"/>
        <v>151499</v>
      </c>
      <c r="M266" s="15">
        <f t="shared" si="81"/>
        <v>157044</v>
      </c>
      <c r="N266" s="15">
        <v>104944</v>
      </c>
      <c r="O266" s="15">
        <v>107078</v>
      </c>
      <c r="P266" s="15">
        <f t="shared" si="92"/>
        <v>-2134</v>
      </c>
      <c r="Q266" s="15">
        <f t="shared" si="93"/>
        <v>149365</v>
      </c>
    </row>
    <row r="267" spans="1:17" ht="12.75" x14ac:dyDescent="0.2">
      <c r="A267" s="20" t="s">
        <v>92</v>
      </c>
      <c r="B267" s="15">
        <v>12077</v>
      </c>
      <c r="C267" s="15">
        <v>4409</v>
      </c>
      <c r="D267" s="15">
        <v>124533</v>
      </c>
      <c r="E267" s="15">
        <v>5346</v>
      </c>
      <c r="F267" s="15">
        <f t="shared" si="91"/>
        <v>135673</v>
      </c>
      <c r="G267" s="15">
        <v>163</v>
      </c>
      <c r="H267" s="15">
        <v>4348</v>
      </c>
      <c r="I267" s="15">
        <v>12264</v>
      </c>
      <c r="J267" s="17">
        <v>0</v>
      </c>
      <c r="K267" s="17">
        <v>0</v>
      </c>
      <c r="L267" s="15">
        <f t="shared" si="88"/>
        <v>152448</v>
      </c>
      <c r="M267" s="15">
        <f t="shared" si="81"/>
        <v>157794</v>
      </c>
      <c r="N267" s="15">
        <v>95616</v>
      </c>
      <c r="O267" s="15">
        <v>131448</v>
      </c>
      <c r="P267" s="15">
        <f t="shared" si="92"/>
        <v>-35832</v>
      </c>
      <c r="Q267" s="15">
        <f t="shared" si="93"/>
        <v>116616</v>
      </c>
    </row>
    <row r="268" spans="1:17" ht="12.75" x14ac:dyDescent="0.2">
      <c r="A268" s="20" t="s">
        <v>93</v>
      </c>
      <c r="B268" s="15">
        <v>12143</v>
      </c>
      <c r="C268" s="15">
        <v>4486</v>
      </c>
      <c r="D268" s="15">
        <v>185661</v>
      </c>
      <c r="E268" s="15">
        <v>5215</v>
      </c>
      <c r="F268" s="15">
        <f t="shared" si="91"/>
        <v>197075</v>
      </c>
      <c r="G268" s="15">
        <v>163</v>
      </c>
      <c r="H268" s="15">
        <v>4348</v>
      </c>
      <c r="I268" s="15">
        <v>12264</v>
      </c>
      <c r="J268" s="17">
        <v>0</v>
      </c>
      <c r="K268" s="17">
        <v>0</v>
      </c>
      <c r="L268" s="15">
        <f t="shared" si="88"/>
        <v>213850</v>
      </c>
      <c r="M268" s="15">
        <f t="shared" si="81"/>
        <v>219065</v>
      </c>
      <c r="N268" s="15">
        <v>108080</v>
      </c>
      <c r="O268" s="15">
        <v>146036</v>
      </c>
      <c r="P268" s="15">
        <f t="shared" si="92"/>
        <v>-37956</v>
      </c>
      <c r="Q268" s="15">
        <f t="shared" si="93"/>
        <v>175894</v>
      </c>
    </row>
    <row r="269" spans="1:17" ht="12.75" x14ac:dyDescent="0.2">
      <c r="A269" s="20" t="s">
        <v>81</v>
      </c>
      <c r="B269" s="15">
        <v>12534</v>
      </c>
      <c r="C269" s="15">
        <v>4630</v>
      </c>
      <c r="D269" s="15">
        <v>135258</v>
      </c>
      <c r="E269" s="15">
        <v>5790</v>
      </c>
      <c r="F269" s="15">
        <f t="shared" si="91"/>
        <v>146632</v>
      </c>
      <c r="G269" s="15">
        <v>163</v>
      </c>
      <c r="H269" s="15">
        <v>4348</v>
      </c>
      <c r="I269" s="15">
        <v>12264</v>
      </c>
      <c r="J269" s="17">
        <v>0</v>
      </c>
      <c r="K269" s="17">
        <v>0</v>
      </c>
      <c r="L269" s="15">
        <f t="shared" si="88"/>
        <v>163407</v>
      </c>
      <c r="M269" s="15">
        <f t="shared" si="81"/>
        <v>169197</v>
      </c>
      <c r="N269" s="15">
        <v>118714</v>
      </c>
      <c r="O269" s="15">
        <v>148837</v>
      </c>
      <c r="P269" s="15">
        <f t="shared" si="92"/>
        <v>-30123</v>
      </c>
      <c r="Q269" s="15">
        <f t="shared" si="93"/>
        <v>133284</v>
      </c>
    </row>
  </sheetData>
  <mergeCells count="4">
    <mergeCell ref="A1:Q1"/>
    <mergeCell ref="B4:F4"/>
    <mergeCell ref="G4:K4"/>
    <mergeCell ref="N4:P4"/>
  </mergeCells>
  <phoneticPr fontId="0" type="noConversion"/>
  <printOptions horizontalCentered="1"/>
  <pageMargins left="0" right="0" top="0.5" bottom="0.5" header="0.5" footer="0.25"/>
  <pageSetup scale="70" orientation="landscape" r:id="rId1"/>
  <headerFooter alignWithMargins="0">
    <oddHeader xml:space="preserve">&amp;C
&amp;"Century Schoolbook,Bold"&amp;11
&amp;R&amp;"Century Schoolbook,Bold Italic"&amp;11 </oddHeader>
    <oddFooter>&amp;C&amp;"Arial,Regular"&amp;P</oddFooter>
  </headerFooter>
  <rowBreaks count="6" manualBreakCount="6">
    <brk id="48" max="16" man="1"/>
    <brk id="87" max="16" man="1"/>
    <brk id="126" max="16" man="1"/>
    <brk id="165" max="16" man="1"/>
    <brk id="204" max="16" man="1"/>
    <brk id="243" max="16" man="1"/>
  </rowBreaks>
  <ignoredErrors>
    <ignoredError sqref="O10:O11 O12:O13 O14:O15 O16:O17 O18:O19 O20:O35 P10:P3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dimension ref="A1:U281"/>
  <sheetViews>
    <sheetView showGridLines="0" tabSelected="1" zoomScaleNormal="100" zoomScaleSheetLayoutView="75" workbookViewId="0">
      <pane xSplit="1" ySplit="8" topLeftCell="B256" activePane="bottomRight" state="frozen"/>
      <selection pane="topRight" activeCell="B1" sqref="B1"/>
      <selection pane="bottomLeft" activeCell="A15" sqref="A15"/>
      <selection pane="bottomRight" activeCell="A3" sqref="A3"/>
    </sheetView>
  </sheetViews>
  <sheetFormatPr defaultColWidth="9.625" defaultRowHeight="12" x14ac:dyDescent="0.15"/>
  <cols>
    <col min="1" max="1" width="7.625" style="1" customWidth="1"/>
    <col min="2" max="6" width="9.625" style="1" customWidth="1"/>
    <col min="7" max="7" width="11.25" style="1" customWidth="1"/>
    <col min="8" max="10" width="9.625" style="1" customWidth="1"/>
    <col min="11" max="11" width="11.875" style="1" customWidth="1"/>
    <col min="12" max="12" width="12.375" style="1" customWidth="1"/>
    <col min="13" max="13" width="15" style="1" customWidth="1"/>
    <col min="14" max="14" width="9.625" style="1" customWidth="1"/>
    <col min="15" max="15" width="11.25" style="1" bestFit="1" customWidth="1"/>
    <col min="16" max="16" width="10" style="1" customWidth="1"/>
    <col min="17" max="17" width="10.625" style="1" customWidth="1"/>
    <col min="18" max="18" width="9.625" style="1"/>
    <col min="19" max="19" width="9.75" style="1" bestFit="1" customWidth="1"/>
    <col min="20" max="16384" width="9.625" style="1"/>
  </cols>
  <sheetData>
    <row r="1" spans="1:18" ht="21" customHeight="1" x14ac:dyDescent="0.25">
      <c r="A1" s="45" t="s">
        <v>85</v>
      </c>
      <c r="B1" s="45"/>
      <c r="C1" s="45"/>
      <c r="D1" s="45"/>
      <c r="E1" s="45"/>
      <c r="F1" s="45"/>
      <c r="G1" s="45"/>
      <c r="H1" s="45"/>
      <c r="I1" s="45"/>
      <c r="J1" s="45"/>
      <c r="K1" s="45"/>
      <c r="L1" s="45"/>
      <c r="M1" s="45"/>
      <c r="N1" s="45"/>
      <c r="O1" s="45"/>
      <c r="P1" s="45"/>
      <c r="Q1" s="45"/>
      <c r="R1" s="3"/>
    </row>
    <row r="2" spans="1:18" ht="11.45" customHeight="1" x14ac:dyDescent="0.2">
      <c r="A2" s="2"/>
      <c r="B2" s="2"/>
      <c r="C2" s="2"/>
      <c r="D2" s="2"/>
      <c r="E2" s="2"/>
      <c r="F2" s="2"/>
      <c r="G2" s="2"/>
      <c r="H2" s="2"/>
      <c r="I2" s="2"/>
      <c r="J2" s="2"/>
      <c r="K2" s="2"/>
      <c r="L2" s="2"/>
      <c r="M2" s="2"/>
      <c r="N2" s="2"/>
      <c r="O2" s="2"/>
      <c r="P2" s="2"/>
      <c r="Q2" s="2"/>
    </row>
    <row r="3" spans="1:18" ht="15.75" customHeight="1" x14ac:dyDescent="0.2">
      <c r="A3" s="4"/>
      <c r="B3" s="4"/>
      <c r="C3" s="4"/>
      <c r="D3" s="4"/>
      <c r="E3" s="4"/>
      <c r="F3" s="4"/>
      <c r="G3" s="4"/>
      <c r="H3" s="4"/>
      <c r="I3" s="4"/>
      <c r="J3" s="4"/>
      <c r="K3" s="4"/>
      <c r="L3" s="4"/>
      <c r="M3" s="4"/>
      <c r="N3" s="4"/>
      <c r="O3" s="4"/>
      <c r="P3" s="4"/>
      <c r="Q3" s="9" t="s">
        <v>0</v>
      </c>
    </row>
    <row r="4" spans="1:18" s="10" customFormat="1" ht="15" customHeight="1" x14ac:dyDescent="0.2">
      <c r="A4" s="5"/>
      <c r="B4" s="46" t="s">
        <v>54</v>
      </c>
      <c r="C4" s="47"/>
      <c r="D4" s="47"/>
      <c r="E4" s="47"/>
      <c r="F4" s="48"/>
      <c r="G4" s="46" t="s">
        <v>53</v>
      </c>
      <c r="H4" s="47"/>
      <c r="I4" s="47"/>
      <c r="J4" s="48"/>
      <c r="K4" s="5"/>
      <c r="L4" s="6"/>
      <c r="M4" s="6"/>
      <c r="N4" s="46" t="s">
        <v>95</v>
      </c>
      <c r="O4" s="47"/>
      <c r="P4" s="48"/>
      <c r="Q4" s="5"/>
    </row>
    <row r="5" spans="1:18" s="10" customFormat="1" ht="15" customHeight="1" x14ac:dyDescent="0.2">
      <c r="A5" s="8"/>
      <c r="B5" s="8"/>
      <c r="C5" s="8"/>
      <c r="D5" s="8"/>
      <c r="E5" s="8"/>
      <c r="F5" s="8"/>
      <c r="H5" s="7" t="s">
        <v>2</v>
      </c>
      <c r="I5" s="7" t="s">
        <v>3</v>
      </c>
      <c r="J5" s="7"/>
      <c r="L5" s="8"/>
      <c r="N5" s="8"/>
      <c r="P5" s="8"/>
      <c r="Q5" s="7"/>
    </row>
    <row r="6" spans="1:18" s="10" customFormat="1" ht="15" customHeight="1" x14ac:dyDescent="0.2">
      <c r="A6" s="8"/>
      <c r="B6" s="7" t="s">
        <v>5</v>
      </c>
      <c r="C6" s="8"/>
      <c r="D6" s="7" t="s">
        <v>6</v>
      </c>
      <c r="E6" s="7" t="s">
        <v>4</v>
      </c>
      <c r="G6" s="7" t="s">
        <v>1</v>
      </c>
      <c r="H6" s="7" t="s">
        <v>8</v>
      </c>
      <c r="I6" s="7" t="s">
        <v>9</v>
      </c>
      <c r="J6" s="7" t="s">
        <v>50</v>
      </c>
      <c r="K6" s="7" t="s">
        <v>83</v>
      </c>
      <c r="L6" s="8"/>
      <c r="M6" s="8" t="s">
        <v>62</v>
      </c>
      <c r="N6" s="8"/>
      <c r="O6" s="7" t="s">
        <v>4</v>
      </c>
      <c r="Q6" s="7" t="s">
        <v>83</v>
      </c>
    </row>
    <row r="7" spans="1:18" s="10" customFormat="1" ht="15" customHeight="1" x14ac:dyDescent="0.2">
      <c r="A7" s="8" t="s">
        <v>10</v>
      </c>
      <c r="B7" s="7" t="s">
        <v>11</v>
      </c>
      <c r="C7" s="7" t="s">
        <v>12</v>
      </c>
      <c r="D7" s="7" t="s">
        <v>4</v>
      </c>
      <c r="E7" s="7" t="s">
        <v>48</v>
      </c>
      <c r="F7" s="7" t="s">
        <v>7</v>
      </c>
      <c r="G7" s="7" t="s">
        <v>75</v>
      </c>
      <c r="H7" s="7" t="s">
        <v>14</v>
      </c>
      <c r="I7" s="7" t="s">
        <v>4</v>
      </c>
      <c r="J7" s="7" t="s">
        <v>51</v>
      </c>
      <c r="K7" s="8" t="s">
        <v>84</v>
      </c>
      <c r="L7" s="8" t="s">
        <v>66</v>
      </c>
      <c r="M7" s="8" t="s">
        <v>63</v>
      </c>
      <c r="N7" s="7" t="s">
        <v>4</v>
      </c>
      <c r="O7" s="7" t="s">
        <v>48</v>
      </c>
      <c r="P7" s="7" t="s">
        <v>7</v>
      </c>
      <c r="Q7" s="8" t="s">
        <v>84</v>
      </c>
    </row>
    <row r="8" spans="1:18" s="10" customFormat="1" ht="15" customHeight="1" x14ac:dyDescent="0.2">
      <c r="A8" s="25" t="s">
        <v>15</v>
      </c>
      <c r="B8" s="26" t="s">
        <v>16</v>
      </c>
      <c r="C8" s="26" t="s">
        <v>17</v>
      </c>
      <c r="D8" s="26" t="s">
        <v>18</v>
      </c>
      <c r="E8" s="26" t="s">
        <v>19</v>
      </c>
      <c r="F8" s="26" t="s">
        <v>13</v>
      </c>
      <c r="G8" s="26" t="s">
        <v>20</v>
      </c>
      <c r="H8" s="26" t="s">
        <v>21</v>
      </c>
      <c r="I8" s="26" t="s">
        <v>18</v>
      </c>
      <c r="J8" s="26" t="s">
        <v>52</v>
      </c>
      <c r="K8" s="25" t="s">
        <v>18</v>
      </c>
      <c r="L8" s="25" t="s">
        <v>65</v>
      </c>
      <c r="M8" s="25" t="s">
        <v>64</v>
      </c>
      <c r="N8" s="26" t="s">
        <v>18</v>
      </c>
      <c r="O8" s="26" t="s">
        <v>76</v>
      </c>
      <c r="P8" s="26" t="s">
        <v>13</v>
      </c>
      <c r="Q8" s="25" t="s">
        <v>18</v>
      </c>
    </row>
    <row r="9" spans="1:18" s="10" customFormat="1" ht="18" customHeight="1" x14ac:dyDescent="0.2">
      <c r="A9" s="13" t="s">
        <v>68</v>
      </c>
      <c r="B9" s="14"/>
      <c r="C9" s="14"/>
      <c r="D9" s="14"/>
      <c r="E9" s="14"/>
      <c r="F9" s="14"/>
      <c r="G9" s="14"/>
      <c r="H9" s="14"/>
      <c r="I9" s="14"/>
      <c r="J9" s="14"/>
      <c r="K9" s="14"/>
      <c r="L9" s="14"/>
      <c r="M9" s="14"/>
      <c r="N9" s="14"/>
      <c r="O9" s="14"/>
      <c r="P9" s="14"/>
      <c r="Q9" s="14"/>
    </row>
    <row r="10" spans="1:18" s="10" customFormat="1" ht="12.75" customHeight="1" x14ac:dyDescent="0.2">
      <c r="A10" s="20" t="s">
        <v>86</v>
      </c>
      <c r="B10" s="12">
        <v>12495</v>
      </c>
      <c r="C10" s="12">
        <v>4068</v>
      </c>
      <c r="D10" s="15">
        <v>159587</v>
      </c>
      <c r="E10" s="12">
        <v>3867</v>
      </c>
      <c r="F10" s="12">
        <f t="shared" ref="F10:F21" si="0">B10+C10+D10-E10</f>
        <v>172283</v>
      </c>
      <c r="G10" s="12">
        <v>164</v>
      </c>
      <c r="H10" s="28">
        <v>4370</v>
      </c>
      <c r="I10" s="12">
        <v>12429</v>
      </c>
      <c r="J10" s="27" t="s">
        <v>94</v>
      </c>
      <c r="K10" s="12">
        <f t="shared" ref="K10:K21" si="1">SUM(F10:J10)</f>
        <v>189246</v>
      </c>
      <c r="L10" s="27" t="s">
        <v>94</v>
      </c>
      <c r="M10" s="12">
        <f t="shared" ref="M10:M21" si="2">B10+C10+D10+G10+H10+I10+J10</f>
        <v>193113</v>
      </c>
      <c r="N10" s="12">
        <v>130907</v>
      </c>
      <c r="O10" s="12">
        <v>150367</v>
      </c>
      <c r="P10" s="12">
        <f t="shared" ref="P10:P21" si="3">N10-O10</f>
        <v>-19460</v>
      </c>
      <c r="Q10" s="12">
        <f t="shared" ref="Q10:Q21" si="4">K10+P10</f>
        <v>169786</v>
      </c>
    </row>
    <row r="11" spans="1:18" s="10" customFormat="1" ht="12.75" customHeight="1" x14ac:dyDescent="0.2">
      <c r="A11" s="20" t="s">
        <v>87</v>
      </c>
      <c r="B11" s="12">
        <v>12485</v>
      </c>
      <c r="C11" s="12">
        <v>4114</v>
      </c>
      <c r="D11" s="15">
        <v>107741</v>
      </c>
      <c r="E11" s="12">
        <v>4075</v>
      </c>
      <c r="F11" s="12">
        <f t="shared" si="0"/>
        <v>120265</v>
      </c>
      <c r="G11" s="12">
        <v>163</v>
      </c>
      <c r="H11" s="28">
        <v>4381</v>
      </c>
      <c r="I11" s="12">
        <v>12517</v>
      </c>
      <c r="J11" s="27" t="s">
        <v>94</v>
      </c>
      <c r="K11" s="12">
        <f t="shared" si="1"/>
        <v>137326</v>
      </c>
      <c r="L11" s="27" t="s">
        <v>94</v>
      </c>
      <c r="M11" s="12">
        <f t="shared" si="2"/>
        <v>141401</v>
      </c>
      <c r="N11" s="12">
        <v>154967</v>
      </c>
      <c r="O11" s="12">
        <v>166700</v>
      </c>
      <c r="P11" s="12">
        <f t="shared" si="3"/>
        <v>-11733</v>
      </c>
      <c r="Q11" s="12">
        <f t="shared" si="4"/>
        <v>125593</v>
      </c>
    </row>
    <row r="12" spans="1:18" s="10" customFormat="1" ht="12.75" customHeight="1" x14ac:dyDescent="0.2">
      <c r="A12" s="20" t="s">
        <v>78</v>
      </c>
      <c r="B12" s="12">
        <v>12488</v>
      </c>
      <c r="C12" s="12">
        <v>4123</v>
      </c>
      <c r="D12" s="15">
        <v>131155</v>
      </c>
      <c r="E12" s="12">
        <v>3705</v>
      </c>
      <c r="F12" s="12">
        <f t="shared" si="0"/>
        <v>144061</v>
      </c>
      <c r="G12" s="12">
        <v>163</v>
      </c>
      <c r="H12" s="28">
        <v>4388</v>
      </c>
      <c r="I12" s="12">
        <v>12576</v>
      </c>
      <c r="J12" s="28">
        <v>10000</v>
      </c>
      <c r="K12" s="12">
        <f t="shared" si="1"/>
        <v>171188</v>
      </c>
      <c r="L12" s="27" t="s">
        <v>94</v>
      </c>
      <c r="M12" s="12">
        <f t="shared" si="2"/>
        <v>174893</v>
      </c>
      <c r="N12" s="12">
        <v>134482</v>
      </c>
      <c r="O12" s="12">
        <v>137814</v>
      </c>
      <c r="P12" s="12">
        <f t="shared" si="3"/>
        <v>-3332</v>
      </c>
      <c r="Q12" s="12">
        <f t="shared" si="4"/>
        <v>167856</v>
      </c>
    </row>
    <row r="13" spans="1:18" s="10" customFormat="1" ht="12.75" customHeight="1" x14ac:dyDescent="0.2">
      <c r="A13" s="20" t="s">
        <v>88</v>
      </c>
      <c r="B13" s="12">
        <v>12246</v>
      </c>
      <c r="C13" s="12">
        <v>4579</v>
      </c>
      <c r="D13" s="15">
        <v>284636</v>
      </c>
      <c r="E13" s="12">
        <v>3349</v>
      </c>
      <c r="F13" s="12">
        <f t="shared" si="0"/>
        <v>298112</v>
      </c>
      <c r="G13" s="12">
        <v>138</v>
      </c>
      <c r="H13" s="28">
        <v>4370</v>
      </c>
      <c r="I13" s="12">
        <v>12333</v>
      </c>
      <c r="J13" s="28">
        <v>10000</v>
      </c>
      <c r="K13" s="12">
        <f t="shared" si="1"/>
        <v>324953</v>
      </c>
      <c r="L13" s="27" t="s">
        <v>94</v>
      </c>
      <c r="M13" s="12">
        <f t="shared" si="2"/>
        <v>328302</v>
      </c>
      <c r="N13" s="12">
        <v>121121</v>
      </c>
      <c r="O13" s="12">
        <v>124013</v>
      </c>
      <c r="P13" s="12">
        <f t="shared" si="3"/>
        <v>-2892</v>
      </c>
      <c r="Q13" s="12">
        <f t="shared" si="4"/>
        <v>322061</v>
      </c>
    </row>
    <row r="14" spans="1:18" s="10" customFormat="1" ht="12.75" customHeight="1" x14ac:dyDescent="0.2">
      <c r="A14" s="20" t="s">
        <v>89</v>
      </c>
      <c r="B14" s="12">
        <v>12390</v>
      </c>
      <c r="C14" s="12">
        <v>4687</v>
      </c>
      <c r="D14" s="15">
        <v>153811</v>
      </c>
      <c r="E14" s="12">
        <v>3616</v>
      </c>
      <c r="F14" s="12">
        <f t="shared" si="0"/>
        <v>167272</v>
      </c>
      <c r="G14" s="12">
        <v>137</v>
      </c>
      <c r="H14" s="28">
        <v>4371</v>
      </c>
      <c r="I14" s="12">
        <v>12322</v>
      </c>
      <c r="J14" s="28">
        <v>10000</v>
      </c>
      <c r="K14" s="12">
        <f t="shared" si="1"/>
        <v>194102</v>
      </c>
      <c r="L14" s="27" t="s">
        <v>94</v>
      </c>
      <c r="M14" s="12">
        <f t="shared" si="2"/>
        <v>197718</v>
      </c>
      <c r="N14" s="12">
        <v>140082</v>
      </c>
      <c r="O14" s="12">
        <v>142961</v>
      </c>
      <c r="P14" s="12">
        <f t="shared" si="3"/>
        <v>-2879</v>
      </c>
      <c r="Q14" s="12">
        <f t="shared" si="4"/>
        <v>191223</v>
      </c>
    </row>
    <row r="15" spans="1:18" s="10" customFormat="1" ht="12.75" customHeight="1" x14ac:dyDescent="0.2">
      <c r="A15" s="20" t="s">
        <v>79</v>
      </c>
      <c r="B15" s="12">
        <v>12368</v>
      </c>
      <c r="C15" s="12">
        <v>4679</v>
      </c>
      <c r="D15" s="15">
        <v>117003</v>
      </c>
      <c r="E15" s="12">
        <v>3842</v>
      </c>
      <c r="F15" s="12">
        <f t="shared" si="0"/>
        <v>130208</v>
      </c>
      <c r="G15" s="12">
        <v>134</v>
      </c>
      <c r="H15" s="28">
        <v>4372</v>
      </c>
      <c r="I15" s="12">
        <v>12352</v>
      </c>
      <c r="J15" s="28">
        <v>10000</v>
      </c>
      <c r="K15" s="12">
        <f t="shared" si="1"/>
        <v>157066</v>
      </c>
      <c r="L15" s="27" t="s">
        <v>94</v>
      </c>
      <c r="M15" s="12">
        <f t="shared" si="2"/>
        <v>160908</v>
      </c>
      <c r="N15" s="12">
        <v>142481</v>
      </c>
      <c r="O15" s="12">
        <v>142828</v>
      </c>
      <c r="P15" s="12">
        <f t="shared" si="3"/>
        <v>-347</v>
      </c>
      <c r="Q15" s="12">
        <f t="shared" si="4"/>
        <v>156719</v>
      </c>
    </row>
    <row r="16" spans="1:18" s="10" customFormat="1" ht="12.75" customHeight="1" x14ac:dyDescent="0.2">
      <c r="A16" s="20" t="s">
        <v>90</v>
      </c>
      <c r="B16" s="15">
        <v>12296</v>
      </c>
      <c r="C16" s="15">
        <v>4671</v>
      </c>
      <c r="D16" s="15">
        <v>117101</v>
      </c>
      <c r="E16" s="15">
        <v>2912</v>
      </c>
      <c r="F16" s="15">
        <f t="shared" si="0"/>
        <v>131156</v>
      </c>
      <c r="G16" s="15">
        <v>134</v>
      </c>
      <c r="H16" s="39">
        <v>4376</v>
      </c>
      <c r="I16" s="15">
        <v>12372</v>
      </c>
      <c r="J16" s="39">
        <v>10000</v>
      </c>
      <c r="K16" s="15">
        <f t="shared" si="1"/>
        <v>158038</v>
      </c>
      <c r="L16" s="27" t="s">
        <v>94</v>
      </c>
      <c r="M16" s="15">
        <f t="shared" si="2"/>
        <v>160950</v>
      </c>
      <c r="N16" s="15">
        <v>141232</v>
      </c>
      <c r="O16" s="15">
        <v>143924</v>
      </c>
      <c r="P16" s="15">
        <f t="shared" si="3"/>
        <v>-2692</v>
      </c>
      <c r="Q16" s="15">
        <f t="shared" si="4"/>
        <v>155346</v>
      </c>
    </row>
    <row r="17" spans="1:17" s="10" customFormat="1" ht="12.75" customHeight="1" x14ac:dyDescent="0.2">
      <c r="A17" s="20" t="s">
        <v>91</v>
      </c>
      <c r="B17" s="12">
        <v>12322</v>
      </c>
      <c r="C17" s="12">
        <v>4743</v>
      </c>
      <c r="D17" s="15">
        <v>97355</v>
      </c>
      <c r="E17" s="12">
        <v>3061</v>
      </c>
      <c r="F17" s="12">
        <f t="shared" si="0"/>
        <v>111359</v>
      </c>
      <c r="G17" s="12">
        <v>133</v>
      </c>
      <c r="H17" s="28">
        <v>4380</v>
      </c>
      <c r="I17" s="12">
        <v>12566</v>
      </c>
      <c r="J17" s="28">
        <v>10000</v>
      </c>
      <c r="K17" s="12">
        <f t="shared" si="1"/>
        <v>138438</v>
      </c>
      <c r="L17" s="27" t="s">
        <v>94</v>
      </c>
      <c r="M17" s="12">
        <f t="shared" si="2"/>
        <v>141499</v>
      </c>
      <c r="N17" s="12">
        <v>117937</v>
      </c>
      <c r="O17" s="12">
        <v>128908</v>
      </c>
      <c r="P17" s="12">
        <f t="shared" si="3"/>
        <v>-10971</v>
      </c>
      <c r="Q17" s="12">
        <f t="shared" si="4"/>
        <v>127467</v>
      </c>
    </row>
    <row r="18" spans="1:17" s="10" customFormat="1" ht="12.75" customHeight="1" x14ac:dyDescent="0.2">
      <c r="A18" s="20" t="s">
        <v>80</v>
      </c>
      <c r="B18" s="12">
        <v>12391</v>
      </c>
      <c r="C18" s="12">
        <v>4770</v>
      </c>
      <c r="D18" s="15">
        <v>88609</v>
      </c>
      <c r="E18" s="12">
        <v>3114</v>
      </c>
      <c r="F18" s="12">
        <f t="shared" si="0"/>
        <v>102656</v>
      </c>
      <c r="G18" s="12">
        <v>133</v>
      </c>
      <c r="H18" s="28">
        <v>4421</v>
      </c>
      <c r="I18" s="12">
        <v>12437</v>
      </c>
      <c r="J18" s="28">
        <v>10200</v>
      </c>
      <c r="K18" s="12">
        <f t="shared" si="1"/>
        <v>129847</v>
      </c>
      <c r="L18" s="27" t="s">
        <v>94</v>
      </c>
      <c r="M18" s="12">
        <f t="shared" si="2"/>
        <v>132961</v>
      </c>
      <c r="N18" s="12">
        <v>113661</v>
      </c>
      <c r="O18" s="12">
        <v>130877</v>
      </c>
      <c r="P18" s="12">
        <f t="shared" si="3"/>
        <v>-17216</v>
      </c>
      <c r="Q18" s="12">
        <f t="shared" si="4"/>
        <v>112631</v>
      </c>
    </row>
    <row r="19" spans="1:17" s="10" customFormat="1" ht="12.75" customHeight="1" x14ac:dyDescent="0.2">
      <c r="A19" s="20" t="s">
        <v>92</v>
      </c>
      <c r="B19" s="15">
        <v>12642</v>
      </c>
      <c r="C19" s="15">
        <v>4409</v>
      </c>
      <c r="D19" s="15">
        <v>79409</v>
      </c>
      <c r="E19" s="15">
        <v>3000</v>
      </c>
      <c r="F19" s="15">
        <f t="shared" si="0"/>
        <v>93460</v>
      </c>
      <c r="G19" s="15">
        <v>125</v>
      </c>
      <c r="H19" s="39">
        <v>4421</v>
      </c>
      <c r="I19" s="15">
        <v>12581</v>
      </c>
      <c r="J19" s="39">
        <v>10200</v>
      </c>
      <c r="K19" s="15">
        <f t="shared" si="1"/>
        <v>120787</v>
      </c>
      <c r="L19" s="27" t="s">
        <v>94</v>
      </c>
      <c r="M19" s="15">
        <f t="shared" si="2"/>
        <v>123787</v>
      </c>
      <c r="N19" s="15">
        <v>119592</v>
      </c>
      <c r="O19" s="15">
        <v>137990</v>
      </c>
      <c r="P19" s="15">
        <f t="shared" si="3"/>
        <v>-18398</v>
      </c>
      <c r="Q19" s="15">
        <f t="shared" si="4"/>
        <v>102389</v>
      </c>
    </row>
    <row r="20" spans="1:17" s="10" customFormat="1" ht="12.75" customHeight="1" x14ac:dyDescent="0.2">
      <c r="A20" s="20" t="s">
        <v>93</v>
      </c>
      <c r="B20" s="12">
        <v>12956</v>
      </c>
      <c r="C20" s="12">
        <v>4486</v>
      </c>
      <c r="D20" s="15">
        <v>102990</v>
      </c>
      <c r="E20" s="12">
        <v>2621</v>
      </c>
      <c r="F20" s="12">
        <f t="shared" si="0"/>
        <v>117811</v>
      </c>
      <c r="G20" s="12">
        <v>98</v>
      </c>
      <c r="H20" s="28">
        <v>4403</v>
      </c>
      <c r="I20" s="12">
        <v>12470</v>
      </c>
      <c r="J20" s="28">
        <v>10200</v>
      </c>
      <c r="K20" s="12">
        <f t="shared" si="1"/>
        <v>144982</v>
      </c>
      <c r="L20" s="27" t="s">
        <v>94</v>
      </c>
      <c r="M20" s="12">
        <f t="shared" si="2"/>
        <v>147603</v>
      </c>
      <c r="N20" s="12">
        <v>119600</v>
      </c>
      <c r="O20" s="12">
        <v>129491</v>
      </c>
      <c r="P20" s="12">
        <f t="shared" si="3"/>
        <v>-9891</v>
      </c>
      <c r="Q20" s="12">
        <f t="shared" si="4"/>
        <v>135091</v>
      </c>
    </row>
    <row r="21" spans="1:17" s="10" customFormat="1" ht="12.75" customHeight="1" x14ac:dyDescent="0.2">
      <c r="A21" s="20" t="s">
        <v>81</v>
      </c>
      <c r="B21" s="12">
        <v>13100</v>
      </c>
      <c r="C21" s="12">
        <v>4630</v>
      </c>
      <c r="D21" s="15">
        <v>61839</v>
      </c>
      <c r="E21" s="12">
        <v>2791</v>
      </c>
      <c r="F21" s="12">
        <f t="shared" si="0"/>
        <v>76778</v>
      </c>
      <c r="G21" s="12">
        <v>98</v>
      </c>
      <c r="H21" s="28">
        <v>4370</v>
      </c>
      <c r="I21" s="12">
        <v>12561</v>
      </c>
      <c r="J21" s="28">
        <v>10200</v>
      </c>
      <c r="K21" s="12">
        <f t="shared" si="1"/>
        <v>104007</v>
      </c>
      <c r="L21" s="27" t="s">
        <v>94</v>
      </c>
      <c r="M21" s="12">
        <f t="shared" si="2"/>
        <v>106798</v>
      </c>
      <c r="N21" s="12">
        <v>129295</v>
      </c>
      <c r="O21" s="12">
        <v>147866</v>
      </c>
      <c r="P21" s="12">
        <f t="shared" si="3"/>
        <v>-18571</v>
      </c>
      <c r="Q21" s="12">
        <f t="shared" si="4"/>
        <v>85436</v>
      </c>
    </row>
    <row r="22" spans="1:17" s="10" customFormat="1" ht="12.75" customHeight="1" x14ac:dyDescent="0.2">
      <c r="A22" s="13" t="s">
        <v>69</v>
      </c>
      <c r="B22" s="12"/>
      <c r="C22" s="12"/>
      <c r="D22" s="15"/>
      <c r="E22" s="12"/>
      <c r="F22" s="12"/>
      <c r="G22" s="12"/>
      <c r="H22" s="28"/>
      <c r="I22" s="12"/>
      <c r="J22" s="28"/>
      <c r="K22" s="12"/>
      <c r="L22" s="28"/>
      <c r="M22" s="12"/>
      <c r="N22" s="12"/>
      <c r="O22" s="12"/>
      <c r="P22" s="12"/>
      <c r="Q22" s="12"/>
    </row>
    <row r="23" spans="1:17" s="10" customFormat="1" ht="12.75" customHeight="1" x14ac:dyDescent="0.2">
      <c r="A23" s="20" t="s">
        <v>86</v>
      </c>
      <c r="B23" s="12">
        <v>12826</v>
      </c>
      <c r="C23" s="12">
        <v>4990</v>
      </c>
      <c r="D23" s="15">
        <v>97589</v>
      </c>
      <c r="E23" s="12">
        <v>3411</v>
      </c>
      <c r="F23" s="12">
        <f t="shared" ref="F23:F60" si="5">B23+C23+D23-E23</f>
        <v>111994</v>
      </c>
      <c r="G23" s="12">
        <v>96</v>
      </c>
      <c r="H23" s="28">
        <v>4376</v>
      </c>
      <c r="I23" s="12">
        <v>12690</v>
      </c>
      <c r="J23" s="28">
        <v>10200</v>
      </c>
      <c r="K23" s="12">
        <f t="shared" ref="K23:K34" si="6">SUM(F23:J23)</f>
        <v>139356</v>
      </c>
      <c r="L23" s="27" t="s">
        <v>94</v>
      </c>
      <c r="M23" s="12">
        <f t="shared" ref="M23:M33" si="7">B23+C23+D23+G23+H23+I23+J23-L23</f>
        <v>142767</v>
      </c>
      <c r="N23" s="12">
        <v>140198</v>
      </c>
      <c r="O23" s="12">
        <v>148778</v>
      </c>
      <c r="P23" s="12">
        <f t="shared" ref="P23:P60" si="8">N23-O23</f>
        <v>-8580</v>
      </c>
      <c r="Q23" s="12">
        <f t="shared" ref="Q23:Q34" si="9">K23+P23</f>
        <v>130776</v>
      </c>
    </row>
    <row r="24" spans="1:17" s="10" customFormat="1" ht="12.75" customHeight="1" x14ac:dyDescent="0.2">
      <c r="A24" s="20" t="s">
        <v>87</v>
      </c>
      <c r="B24" s="12">
        <v>12923</v>
      </c>
      <c r="C24" s="12">
        <v>5109</v>
      </c>
      <c r="D24" s="15">
        <v>72372</v>
      </c>
      <c r="E24" s="12">
        <v>2805</v>
      </c>
      <c r="F24" s="12">
        <f t="shared" si="5"/>
        <v>87599</v>
      </c>
      <c r="G24" s="12">
        <v>96</v>
      </c>
      <c r="H24" s="28">
        <v>4381</v>
      </c>
      <c r="I24" s="12">
        <v>12637</v>
      </c>
      <c r="J24" s="28">
        <v>10200</v>
      </c>
      <c r="K24" s="12">
        <f t="shared" si="6"/>
        <v>114913</v>
      </c>
      <c r="L24" s="27" t="s">
        <v>94</v>
      </c>
      <c r="M24" s="12">
        <f t="shared" si="7"/>
        <v>117718</v>
      </c>
      <c r="N24" s="12">
        <v>156385</v>
      </c>
      <c r="O24" s="12">
        <v>153559</v>
      </c>
      <c r="P24" s="12">
        <f t="shared" si="8"/>
        <v>2826</v>
      </c>
      <c r="Q24" s="12">
        <f t="shared" si="9"/>
        <v>117739</v>
      </c>
    </row>
    <row r="25" spans="1:17" s="10" customFormat="1" ht="12.75" customHeight="1" x14ac:dyDescent="0.2">
      <c r="A25" s="20" t="s">
        <v>78</v>
      </c>
      <c r="B25" s="12">
        <v>12744</v>
      </c>
      <c r="C25" s="12">
        <v>5038</v>
      </c>
      <c r="D25" s="15">
        <v>312181</v>
      </c>
      <c r="E25" s="12">
        <v>2860</v>
      </c>
      <c r="F25" s="12">
        <f t="shared" si="5"/>
        <v>327103</v>
      </c>
      <c r="G25" s="12">
        <v>96</v>
      </c>
      <c r="H25" s="28">
        <v>4354</v>
      </c>
      <c r="I25" s="12">
        <v>12593</v>
      </c>
      <c r="J25" s="27" t="s">
        <v>94</v>
      </c>
      <c r="K25" s="12">
        <f t="shared" si="6"/>
        <v>344146</v>
      </c>
      <c r="L25" s="28">
        <v>61736.506520000003</v>
      </c>
      <c r="M25" s="12">
        <f t="shared" si="7"/>
        <v>285269.49348</v>
      </c>
      <c r="N25" s="12">
        <v>191309</v>
      </c>
      <c r="O25" s="12">
        <v>135442</v>
      </c>
      <c r="P25" s="12">
        <f t="shared" si="8"/>
        <v>55867</v>
      </c>
      <c r="Q25" s="12">
        <f t="shared" si="9"/>
        <v>400013</v>
      </c>
    </row>
    <row r="26" spans="1:17" s="10" customFormat="1" ht="12.75" customHeight="1" x14ac:dyDescent="0.2">
      <c r="A26" s="20" t="s">
        <v>88</v>
      </c>
      <c r="B26" s="12">
        <v>12794</v>
      </c>
      <c r="C26" s="12">
        <v>5058</v>
      </c>
      <c r="D26" s="15">
        <v>260021</v>
      </c>
      <c r="E26" s="12">
        <v>3931</v>
      </c>
      <c r="F26" s="12">
        <f t="shared" si="5"/>
        <v>273942</v>
      </c>
      <c r="G26" s="12">
        <v>96</v>
      </c>
      <c r="H26" s="28">
        <v>4398</v>
      </c>
      <c r="I26" s="12">
        <v>12821</v>
      </c>
      <c r="J26" s="27" t="s">
        <v>94</v>
      </c>
      <c r="K26" s="12">
        <f t="shared" si="6"/>
        <v>291257</v>
      </c>
      <c r="L26" s="27" t="s">
        <v>94</v>
      </c>
      <c r="M26" s="12">
        <f t="shared" si="7"/>
        <v>295188</v>
      </c>
      <c r="N26" s="12">
        <v>201746</v>
      </c>
      <c r="O26" s="12">
        <v>179184</v>
      </c>
      <c r="P26" s="12">
        <f t="shared" si="8"/>
        <v>22562</v>
      </c>
      <c r="Q26" s="12">
        <f t="shared" si="9"/>
        <v>313819</v>
      </c>
    </row>
    <row r="27" spans="1:17" s="10" customFormat="1" ht="12.75" customHeight="1" x14ac:dyDescent="0.2">
      <c r="A27" s="20" t="s">
        <v>89</v>
      </c>
      <c r="B27" s="12">
        <v>12441</v>
      </c>
      <c r="C27" s="12">
        <v>5003</v>
      </c>
      <c r="D27" s="15">
        <v>264747</v>
      </c>
      <c r="E27" s="12">
        <v>2949</v>
      </c>
      <c r="F27" s="12">
        <f t="shared" si="5"/>
        <v>279242</v>
      </c>
      <c r="G27" s="12">
        <v>96</v>
      </c>
      <c r="H27" s="28">
        <v>4428</v>
      </c>
      <c r="I27" s="12">
        <v>12978</v>
      </c>
      <c r="J27" s="27" t="s">
        <v>94</v>
      </c>
      <c r="K27" s="12">
        <f t="shared" si="6"/>
        <v>296744</v>
      </c>
      <c r="L27" s="27" t="s">
        <v>94</v>
      </c>
      <c r="M27" s="12">
        <f t="shared" si="7"/>
        <v>299693</v>
      </c>
      <c r="N27" s="12">
        <v>166453</v>
      </c>
      <c r="O27" s="12">
        <v>133120</v>
      </c>
      <c r="P27" s="12">
        <f t="shared" si="8"/>
        <v>33333</v>
      </c>
      <c r="Q27" s="12">
        <f t="shared" si="9"/>
        <v>330077</v>
      </c>
    </row>
    <row r="28" spans="1:17" s="10" customFormat="1" ht="12.75" customHeight="1" x14ac:dyDescent="0.2">
      <c r="A28" s="20" t="s">
        <v>79</v>
      </c>
      <c r="B28" s="12">
        <v>12287</v>
      </c>
      <c r="C28" s="12">
        <v>4941</v>
      </c>
      <c r="D28" s="15">
        <v>191058</v>
      </c>
      <c r="E28" s="12">
        <v>2628</v>
      </c>
      <c r="F28" s="12">
        <f t="shared" si="5"/>
        <v>205658</v>
      </c>
      <c r="G28" s="12">
        <v>92</v>
      </c>
      <c r="H28" s="28">
        <v>4428</v>
      </c>
      <c r="I28" s="12">
        <v>13091</v>
      </c>
      <c r="J28" s="27" t="s">
        <v>94</v>
      </c>
      <c r="K28" s="12">
        <f t="shared" si="6"/>
        <v>223269</v>
      </c>
      <c r="L28" s="28">
        <v>62004.542399999998</v>
      </c>
      <c r="M28" s="12">
        <f t="shared" si="7"/>
        <v>163892.45759999999</v>
      </c>
      <c r="N28" s="12">
        <v>151578</v>
      </c>
      <c r="O28" s="12">
        <v>139394</v>
      </c>
      <c r="P28" s="12">
        <f t="shared" si="8"/>
        <v>12184</v>
      </c>
      <c r="Q28" s="12">
        <f t="shared" si="9"/>
        <v>235453</v>
      </c>
    </row>
    <row r="29" spans="1:17" s="10" customFormat="1" ht="12.75" customHeight="1" x14ac:dyDescent="0.2">
      <c r="A29" s="20" t="s">
        <v>90</v>
      </c>
      <c r="B29" s="12">
        <v>12247</v>
      </c>
      <c r="C29" s="12">
        <v>4924</v>
      </c>
      <c r="D29" s="15">
        <v>185312</v>
      </c>
      <c r="E29" s="12">
        <v>2775</v>
      </c>
      <c r="F29" s="12">
        <f t="shared" si="5"/>
        <v>199708</v>
      </c>
      <c r="G29" s="12">
        <v>92</v>
      </c>
      <c r="H29" s="28">
        <v>4449</v>
      </c>
      <c r="I29" s="12">
        <v>12944</v>
      </c>
      <c r="J29" s="27" t="s">
        <v>94</v>
      </c>
      <c r="K29" s="12">
        <f t="shared" si="6"/>
        <v>217193</v>
      </c>
      <c r="L29" s="27" t="s">
        <v>94</v>
      </c>
      <c r="M29" s="12">
        <f t="shared" si="7"/>
        <v>219968</v>
      </c>
      <c r="N29" s="12">
        <v>145648</v>
      </c>
      <c r="O29" s="12">
        <v>138982</v>
      </c>
      <c r="P29" s="12">
        <f t="shared" si="8"/>
        <v>6666</v>
      </c>
      <c r="Q29" s="12">
        <f t="shared" si="9"/>
        <v>223859</v>
      </c>
    </row>
    <row r="30" spans="1:17" s="10" customFormat="1" ht="12.75" customHeight="1" x14ac:dyDescent="0.2">
      <c r="A30" s="20" t="s">
        <v>91</v>
      </c>
      <c r="B30" s="12">
        <v>12314</v>
      </c>
      <c r="C30" s="12">
        <v>5042</v>
      </c>
      <c r="D30" s="15">
        <v>160628</v>
      </c>
      <c r="E30" s="12">
        <v>2518</v>
      </c>
      <c r="F30" s="12">
        <f t="shared" si="5"/>
        <v>175466</v>
      </c>
      <c r="G30" s="12">
        <v>92</v>
      </c>
      <c r="H30" s="28">
        <v>4469</v>
      </c>
      <c r="I30" s="12">
        <v>13169</v>
      </c>
      <c r="J30" s="27" t="s">
        <v>94</v>
      </c>
      <c r="K30" s="12">
        <f t="shared" si="6"/>
        <v>193196</v>
      </c>
      <c r="L30" s="27" t="s">
        <v>94</v>
      </c>
      <c r="M30" s="12">
        <f t="shared" si="7"/>
        <v>195714</v>
      </c>
      <c r="N30" s="12">
        <v>141603</v>
      </c>
      <c r="O30" s="12">
        <v>142380</v>
      </c>
      <c r="P30" s="12">
        <f t="shared" si="8"/>
        <v>-777</v>
      </c>
      <c r="Q30" s="12">
        <f t="shared" si="9"/>
        <v>192419</v>
      </c>
    </row>
    <row r="31" spans="1:17" s="10" customFormat="1" ht="12.75" customHeight="1" x14ac:dyDescent="0.2">
      <c r="A31" s="20" t="s">
        <v>80</v>
      </c>
      <c r="B31" s="12">
        <v>12226</v>
      </c>
      <c r="C31" s="12">
        <v>5006</v>
      </c>
      <c r="D31" s="15">
        <v>188448</v>
      </c>
      <c r="E31" s="12">
        <v>2533</v>
      </c>
      <c r="F31" s="12">
        <f t="shared" si="5"/>
        <v>203147</v>
      </c>
      <c r="G31" s="12">
        <v>92</v>
      </c>
      <c r="H31" s="28">
        <v>4448</v>
      </c>
      <c r="I31" s="12">
        <v>13023</v>
      </c>
      <c r="J31" s="28">
        <v>35000</v>
      </c>
      <c r="K31" s="12">
        <f t="shared" si="6"/>
        <v>255710</v>
      </c>
      <c r="L31" s="28">
        <v>96389.867339999997</v>
      </c>
      <c r="M31" s="12">
        <f t="shared" si="7"/>
        <v>161853.13266</v>
      </c>
      <c r="N31" s="12">
        <v>130194</v>
      </c>
      <c r="O31" s="12">
        <v>148926</v>
      </c>
      <c r="P31" s="12">
        <f t="shared" si="8"/>
        <v>-18732</v>
      </c>
      <c r="Q31" s="12">
        <f t="shared" si="9"/>
        <v>236978</v>
      </c>
    </row>
    <row r="32" spans="1:17" s="10" customFormat="1" ht="12.75" customHeight="1" x14ac:dyDescent="0.2">
      <c r="A32" s="20" t="s">
        <v>92</v>
      </c>
      <c r="B32" s="12">
        <v>12196</v>
      </c>
      <c r="C32" s="12">
        <v>4993</v>
      </c>
      <c r="D32" s="15">
        <v>171762</v>
      </c>
      <c r="E32" s="12">
        <v>2701</v>
      </c>
      <c r="F32" s="12">
        <f t="shared" si="5"/>
        <v>186250</v>
      </c>
      <c r="G32" s="12">
        <v>88</v>
      </c>
      <c r="H32" s="28">
        <v>4435</v>
      </c>
      <c r="I32" s="12">
        <v>12939</v>
      </c>
      <c r="J32" s="28">
        <v>10016</v>
      </c>
      <c r="K32" s="12">
        <f t="shared" si="6"/>
        <v>213728</v>
      </c>
      <c r="L32" s="27" t="s">
        <v>94</v>
      </c>
      <c r="M32" s="12">
        <f t="shared" si="7"/>
        <v>216429</v>
      </c>
      <c r="N32" s="12">
        <v>131315</v>
      </c>
      <c r="O32" s="12">
        <v>153125</v>
      </c>
      <c r="P32" s="12">
        <f t="shared" si="8"/>
        <v>-21810</v>
      </c>
      <c r="Q32" s="12">
        <f t="shared" si="9"/>
        <v>191918</v>
      </c>
    </row>
    <row r="33" spans="1:17" s="10" customFormat="1" ht="12.75" customHeight="1" x14ac:dyDescent="0.2">
      <c r="A33" s="20" t="s">
        <v>93</v>
      </c>
      <c r="B33" s="12">
        <v>12013</v>
      </c>
      <c r="C33" s="12">
        <v>5014</v>
      </c>
      <c r="D33" s="15">
        <v>113296</v>
      </c>
      <c r="E33" s="12">
        <v>2464</v>
      </c>
      <c r="F33" s="12">
        <f t="shared" si="5"/>
        <v>127859</v>
      </c>
      <c r="G33" s="12">
        <v>87</v>
      </c>
      <c r="H33" s="28">
        <v>4448</v>
      </c>
      <c r="I33" s="12">
        <v>13015</v>
      </c>
      <c r="J33" s="28">
        <v>10016</v>
      </c>
      <c r="K33" s="12">
        <f t="shared" si="6"/>
        <v>155425</v>
      </c>
      <c r="L33" s="27" t="s">
        <v>94</v>
      </c>
      <c r="M33" s="12">
        <f t="shared" si="7"/>
        <v>157889</v>
      </c>
      <c r="N33" s="12">
        <v>143096</v>
      </c>
      <c r="O33" s="12">
        <v>154992</v>
      </c>
      <c r="P33" s="12">
        <f t="shared" si="8"/>
        <v>-11896</v>
      </c>
      <c r="Q33" s="12">
        <f t="shared" si="9"/>
        <v>143529</v>
      </c>
    </row>
    <row r="34" spans="1:17" s="10" customFormat="1" ht="12.75" customHeight="1" x14ac:dyDescent="0.2">
      <c r="A34" s="20" t="s">
        <v>81</v>
      </c>
      <c r="B34" s="12">
        <v>12056</v>
      </c>
      <c r="C34" s="12">
        <v>5032</v>
      </c>
      <c r="D34" s="15">
        <v>98673</v>
      </c>
      <c r="E34" s="12">
        <v>2737</v>
      </c>
      <c r="F34" s="12">
        <f t="shared" si="5"/>
        <v>113024</v>
      </c>
      <c r="G34" s="12">
        <v>87</v>
      </c>
      <c r="H34" s="28">
        <v>4467</v>
      </c>
      <c r="I34" s="12">
        <v>13143</v>
      </c>
      <c r="J34" s="28">
        <v>10016</v>
      </c>
      <c r="K34" s="12">
        <f t="shared" si="6"/>
        <v>140737</v>
      </c>
      <c r="L34" s="28">
        <v>63840</v>
      </c>
      <c r="M34" s="12">
        <f t="shared" ref="M34:M46" si="10">B34+C34+D34+G34+H34+I34+J34-L34</f>
        <v>79634</v>
      </c>
      <c r="N34" s="12">
        <v>147637</v>
      </c>
      <c r="O34" s="12">
        <v>154219</v>
      </c>
      <c r="P34" s="12">
        <f t="shared" si="8"/>
        <v>-6582</v>
      </c>
      <c r="Q34" s="12">
        <f t="shared" si="9"/>
        <v>134155</v>
      </c>
    </row>
    <row r="35" spans="1:17" s="10" customFormat="1" ht="12.75" customHeight="1" x14ac:dyDescent="0.2">
      <c r="A35" s="13" t="s">
        <v>70</v>
      </c>
      <c r="B35" s="12"/>
      <c r="C35" s="12"/>
      <c r="D35" s="15"/>
      <c r="E35" s="12"/>
      <c r="F35" s="12"/>
      <c r="G35" s="12"/>
      <c r="H35" s="28"/>
      <c r="I35" s="12"/>
      <c r="J35" s="28"/>
      <c r="K35" s="12"/>
      <c r="L35" s="28"/>
      <c r="M35" s="12"/>
      <c r="N35" s="12"/>
      <c r="O35" s="12"/>
      <c r="P35" s="12"/>
      <c r="Q35" s="12"/>
    </row>
    <row r="36" spans="1:17" s="10" customFormat="1" ht="12.75" customHeight="1" x14ac:dyDescent="0.2">
      <c r="A36" s="20" t="s">
        <v>86</v>
      </c>
      <c r="B36" s="12">
        <v>12192</v>
      </c>
      <c r="C36" s="12">
        <v>5088</v>
      </c>
      <c r="D36" s="15">
        <v>138953</v>
      </c>
      <c r="E36" s="12">
        <v>3173</v>
      </c>
      <c r="F36" s="12">
        <f t="shared" si="5"/>
        <v>153060</v>
      </c>
      <c r="G36" s="12">
        <v>88</v>
      </c>
      <c r="H36" s="28">
        <v>4472</v>
      </c>
      <c r="I36" s="12">
        <v>13096</v>
      </c>
      <c r="J36" s="28">
        <v>10016</v>
      </c>
      <c r="K36" s="12">
        <f t="shared" ref="K36:K47" si="11">SUM(F36:J36)</f>
        <v>180732</v>
      </c>
      <c r="L36" s="28">
        <v>64011</v>
      </c>
      <c r="M36" s="12">
        <f t="shared" si="10"/>
        <v>119894</v>
      </c>
      <c r="N36" s="12">
        <v>120627</v>
      </c>
      <c r="O36" s="12">
        <v>156402</v>
      </c>
      <c r="P36" s="12">
        <f t="shared" si="8"/>
        <v>-35775</v>
      </c>
      <c r="Q36" s="12">
        <f t="shared" ref="Q36:Q47" si="12">K36+P36</f>
        <v>144957</v>
      </c>
    </row>
    <row r="37" spans="1:17" s="10" customFormat="1" ht="12.75" customHeight="1" x14ac:dyDescent="0.2">
      <c r="A37" s="20" t="s">
        <v>87</v>
      </c>
      <c r="B37" s="12">
        <v>12105</v>
      </c>
      <c r="C37" s="12">
        <v>5160</v>
      </c>
      <c r="D37" s="15">
        <v>129645</v>
      </c>
      <c r="E37" s="12">
        <v>2798</v>
      </c>
      <c r="F37" s="12">
        <f t="shared" si="5"/>
        <v>144112</v>
      </c>
      <c r="G37" s="12">
        <v>87</v>
      </c>
      <c r="H37" s="28">
        <v>4478</v>
      </c>
      <c r="I37" s="12">
        <v>13156</v>
      </c>
      <c r="J37" s="28">
        <v>10016</v>
      </c>
      <c r="K37" s="12">
        <f t="shared" si="11"/>
        <v>171849</v>
      </c>
      <c r="L37" s="28">
        <v>64188</v>
      </c>
      <c r="M37" s="12">
        <f t="shared" si="10"/>
        <v>110459</v>
      </c>
      <c r="N37" s="12">
        <v>144018</v>
      </c>
      <c r="O37" s="12">
        <v>165154</v>
      </c>
      <c r="P37" s="12">
        <f t="shared" si="8"/>
        <v>-21136</v>
      </c>
      <c r="Q37" s="12">
        <f t="shared" si="12"/>
        <v>150713</v>
      </c>
    </row>
    <row r="38" spans="1:17" s="10" customFormat="1" ht="12.75" customHeight="1" x14ac:dyDescent="0.2">
      <c r="A38" s="20" t="s">
        <v>78</v>
      </c>
      <c r="B38" s="12">
        <v>12154</v>
      </c>
      <c r="C38" s="12">
        <v>5181</v>
      </c>
      <c r="D38" s="15">
        <v>113751</v>
      </c>
      <c r="E38" s="12">
        <v>2501</v>
      </c>
      <c r="F38" s="12">
        <f t="shared" si="5"/>
        <v>128585</v>
      </c>
      <c r="G38" s="12">
        <v>87</v>
      </c>
      <c r="H38" s="28">
        <v>4483</v>
      </c>
      <c r="I38" s="12">
        <v>13008</v>
      </c>
      <c r="J38" s="27" t="s">
        <v>94</v>
      </c>
      <c r="K38" s="12">
        <f t="shared" si="11"/>
        <v>146163</v>
      </c>
      <c r="L38" s="28">
        <v>62261</v>
      </c>
      <c r="M38" s="12">
        <f t="shared" si="10"/>
        <v>86403</v>
      </c>
      <c r="N38" s="12">
        <v>148575</v>
      </c>
      <c r="O38" s="12">
        <v>144487</v>
      </c>
      <c r="P38" s="12">
        <f t="shared" si="8"/>
        <v>4088</v>
      </c>
      <c r="Q38" s="12">
        <f t="shared" si="12"/>
        <v>150251</v>
      </c>
    </row>
    <row r="39" spans="1:17" s="10" customFormat="1" ht="12.75" customHeight="1" x14ac:dyDescent="0.2">
      <c r="A39" s="20" t="s">
        <v>88</v>
      </c>
      <c r="B39" s="12">
        <v>12105</v>
      </c>
      <c r="C39" s="12">
        <v>5160</v>
      </c>
      <c r="D39" s="15">
        <v>121122</v>
      </c>
      <c r="E39" s="12">
        <v>2503</v>
      </c>
      <c r="F39" s="12">
        <f t="shared" si="5"/>
        <v>135884</v>
      </c>
      <c r="G39" s="12">
        <v>89</v>
      </c>
      <c r="H39" s="28">
        <v>4490</v>
      </c>
      <c r="I39" s="12">
        <v>12926</v>
      </c>
      <c r="J39" s="27" t="s">
        <v>94</v>
      </c>
      <c r="K39" s="12">
        <f t="shared" si="11"/>
        <v>153389</v>
      </c>
      <c r="L39" s="28">
        <v>62454</v>
      </c>
      <c r="M39" s="12">
        <f t="shared" si="10"/>
        <v>93438</v>
      </c>
      <c r="N39" s="12">
        <v>166647</v>
      </c>
      <c r="O39" s="12">
        <v>157173</v>
      </c>
      <c r="P39" s="12">
        <f t="shared" si="8"/>
        <v>9474</v>
      </c>
      <c r="Q39" s="12">
        <f t="shared" si="12"/>
        <v>162863</v>
      </c>
    </row>
    <row r="40" spans="1:17" s="10" customFormat="1" ht="12.75" customHeight="1" x14ac:dyDescent="0.2">
      <c r="A40" s="20" t="s">
        <v>89</v>
      </c>
      <c r="B40" s="12">
        <v>12604</v>
      </c>
      <c r="C40" s="12">
        <v>5493</v>
      </c>
      <c r="D40" s="15">
        <v>132301</v>
      </c>
      <c r="E40" s="12">
        <v>2560</v>
      </c>
      <c r="F40" s="12">
        <f t="shared" si="5"/>
        <v>147838</v>
      </c>
      <c r="G40" s="12">
        <v>93</v>
      </c>
      <c r="H40" s="28">
        <v>4495</v>
      </c>
      <c r="I40" s="12">
        <v>12941</v>
      </c>
      <c r="J40" s="27" t="s">
        <v>94</v>
      </c>
      <c r="K40" s="12">
        <f t="shared" si="11"/>
        <v>165367</v>
      </c>
      <c r="L40" s="28">
        <v>62645</v>
      </c>
      <c r="M40" s="12">
        <f t="shared" si="10"/>
        <v>105282</v>
      </c>
      <c r="N40" s="12">
        <v>166125</v>
      </c>
      <c r="O40" s="12">
        <v>141975</v>
      </c>
      <c r="P40" s="12">
        <f t="shared" si="8"/>
        <v>24150</v>
      </c>
      <c r="Q40" s="12">
        <f t="shared" si="12"/>
        <v>189517</v>
      </c>
    </row>
    <row r="41" spans="1:17" s="10" customFormat="1" ht="12.75" customHeight="1" x14ac:dyDescent="0.2">
      <c r="A41" s="20" t="s">
        <v>79</v>
      </c>
      <c r="B41" s="12">
        <v>12479</v>
      </c>
      <c r="C41" s="12">
        <v>5439</v>
      </c>
      <c r="D41" s="15">
        <v>116382</v>
      </c>
      <c r="E41" s="12">
        <v>2459</v>
      </c>
      <c r="F41" s="12">
        <f t="shared" si="5"/>
        <v>131841</v>
      </c>
      <c r="G41" s="12">
        <v>89</v>
      </c>
      <c r="H41" s="28">
        <v>4503</v>
      </c>
      <c r="I41" s="12">
        <v>13007</v>
      </c>
      <c r="J41" s="27" t="s">
        <v>94</v>
      </c>
      <c r="K41" s="12">
        <f t="shared" si="11"/>
        <v>149440</v>
      </c>
      <c r="L41" s="28">
        <v>62850</v>
      </c>
      <c r="M41" s="12">
        <f t="shared" si="10"/>
        <v>89049</v>
      </c>
      <c r="N41" s="12">
        <v>164844</v>
      </c>
      <c r="O41" s="12">
        <v>136943</v>
      </c>
      <c r="P41" s="12">
        <f t="shared" si="8"/>
        <v>27901</v>
      </c>
      <c r="Q41" s="12">
        <f t="shared" si="12"/>
        <v>177341</v>
      </c>
    </row>
    <row r="42" spans="1:17" s="10" customFormat="1" ht="12.75" customHeight="1" x14ac:dyDescent="0.2">
      <c r="A42" s="20" t="s">
        <v>90</v>
      </c>
      <c r="B42" s="12">
        <v>12497</v>
      </c>
      <c r="C42" s="12">
        <v>5447</v>
      </c>
      <c r="D42" s="15">
        <v>158136</v>
      </c>
      <c r="E42" s="12">
        <v>1999</v>
      </c>
      <c r="F42" s="12">
        <f t="shared" si="5"/>
        <v>174081</v>
      </c>
      <c r="G42" s="12">
        <v>90</v>
      </c>
      <c r="H42" s="28">
        <v>4533</v>
      </c>
      <c r="I42" s="12">
        <v>13126</v>
      </c>
      <c r="J42" s="27" t="s">
        <v>94</v>
      </c>
      <c r="K42" s="12">
        <f t="shared" si="11"/>
        <v>191830</v>
      </c>
      <c r="L42" s="28">
        <v>63054</v>
      </c>
      <c r="M42" s="12">
        <f t="shared" si="10"/>
        <v>130775</v>
      </c>
      <c r="N42" s="12">
        <v>179303</v>
      </c>
      <c r="O42" s="12">
        <v>128172</v>
      </c>
      <c r="P42" s="12">
        <f t="shared" si="8"/>
        <v>51131</v>
      </c>
      <c r="Q42" s="12">
        <f t="shared" si="12"/>
        <v>242961</v>
      </c>
    </row>
    <row r="43" spans="1:17" s="10" customFormat="1" ht="12.75" customHeight="1" x14ac:dyDescent="0.2">
      <c r="A43" s="20" t="s">
        <v>91</v>
      </c>
      <c r="B43" s="12">
        <v>12556</v>
      </c>
      <c r="C43" s="12">
        <v>5609</v>
      </c>
      <c r="D43" s="15">
        <v>137349</v>
      </c>
      <c r="E43" s="12">
        <v>1978</v>
      </c>
      <c r="F43" s="12">
        <f t="shared" si="5"/>
        <v>153536</v>
      </c>
      <c r="G43" s="12">
        <v>90</v>
      </c>
      <c r="H43" s="28">
        <v>4566</v>
      </c>
      <c r="I43" s="12">
        <v>13273</v>
      </c>
      <c r="J43" s="27" t="s">
        <v>94</v>
      </c>
      <c r="K43" s="12">
        <f t="shared" si="11"/>
        <v>171465</v>
      </c>
      <c r="L43" s="28">
        <v>59798</v>
      </c>
      <c r="M43" s="12">
        <f t="shared" si="10"/>
        <v>113645</v>
      </c>
      <c r="N43" s="12">
        <v>194802</v>
      </c>
      <c r="O43" s="12">
        <v>133186</v>
      </c>
      <c r="P43" s="12">
        <f t="shared" si="8"/>
        <v>61616</v>
      </c>
      <c r="Q43" s="12">
        <f t="shared" si="12"/>
        <v>233081</v>
      </c>
    </row>
    <row r="44" spans="1:17" s="10" customFormat="1" ht="12.75" customHeight="1" x14ac:dyDescent="0.2">
      <c r="A44" s="20" t="s">
        <v>80</v>
      </c>
      <c r="B44" s="12">
        <v>12453</v>
      </c>
      <c r="C44" s="12">
        <v>5563</v>
      </c>
      <c r="D44" s="15">
        <v>115587</v>
      </c>
      <c r="E44" s="12">
        <v>3125</v>
      </c>
      <c r="F44" s="12">
        <f t="shared" si="5"/>
        <v>130478</v>
      </c>
      <c r="G44" s="12">
        <v>91</v>
      </c>
      <c r="H44" s="28">
        <v>4593</v>
      </c>
      <c r="I44" s="12">
        <v>13380</v>
      </c>
      <c r="J44" s="27" t="s">
        <v>94</v>
      </c>
      <c r="K44" s="12">
        <f t="shared" si="11"/>
        <v>148542</v>
      </c>
      <c r="L44" s="28">
        <v>39253</v>
      </c>
      <c r="M44" s="12">
        <f t="shared" si="10"/>
        <v>112414</v>
      </c>
      <c r="N44" s="12">
        <v>159704</v>
      </c>
      <c r="O44" s="12">
        <v>117617</v>
      </c>
      <c r="P44" s="12">
        <f t="shared" si="8"/>
        <v>42087</v>
      </c>
      <c r="Q44" s="12">
        <f t="shared" si="12"/>
        <v>190629</v>
      </c>
    </row>
    <row r="45" spans="1:17" s="10" customFormat="1" ht="12.75" customHeight="1" x14ac:dyDescent="0.2">
      <c r="A45" s="20" t="s">
        <v>92</v>
      </c>
      <c r="B45" s="12">
        <v>12484</v>
      </c>
      <c r="C45" s="12">
        <v>5577</v>
      </c>
      <c r="D45" s="15">
        <v>98388</v>
      </c>
      <c r="E45" s="12">
        <v>2589</v>
      </c>
      <c r="F45" s="12">
        <f t="shared" si="5"/>
        <v>113860</v>
      </c>
      <c r="G45" s="12">
        <v>88</v>
      </c>
      <c r="H45" s="28">
        <v>4608</v>
      </c>
      <c r="I45" s="12">
        <v>13421</v>
      </c>
      <c r="J45" s="27" t="s">
        <v>94</v>
      </c>
      <c r="K45" s="12">
        <f t="shared" si="11"/>
        <v>131977</v>
      </c>
      <c r="L45" s="28">
        <v>39421</v>
      </c>
      <c r="M45" s="12">
        <f t="shared" si="10"/>
        <v>95145</v>
      </c>
      <c r="N45" s="12">
        <v>172541</v>
      </c>
      <c r="O45" s="12">
        <v>126855</v>
      </c>
      <c r="P45" s="12">
        <f t="shared" si="8"/>
        <v>45686</v>
      </c>
      <c r="Q45" s="12">
        <f t="shared" si="12"/>
        <v>177663</v>
      </c>
    </row>
    <row r="46" spans="1:17" s="10" customFormat="1" ht="12.75" customHeight="1" x14ac:dyDescent="0.2">
      <c r="A46" s="20" t="s">
        <v>93</v>
      </c>
      <c r="B46" s="12">
        <v>12718</v>
      </c>
      <c r="C46" s="12">
        <v>5829</v>
      </c>
      <c r="D46" s="15">
        <v>103045</v>
      </c>
      <c r="E46" s="12">
        <v>2290</v>
      </c>
      <c r="F46" s="12">
        <f t="shared" si="5"/>
        <v>119302</v>
      </c>
      <c r="G46" s="12">
        <v>89</v>
      </c>
      <c r="H46" s="28">
        <v>4635</v>
      </c>
      <c r="I46" s="12">
        <v>13551</v>
      </c>
      <c r="J46" s="27" t="s">
        <v>94</v>
      </c>
      <c r="K46" s="12">
        <f t="shared" si="11"/>
        <v>137577</v>
      </c>
      <c r="L46" s="28">
        <v>39560</v>
      </c>
      <c r="M46" s="12">
        <f t="shared" si="10"/>
        <v>100307</v>
      </c>
      <c r="N46" s="12">
        <v>176382</v>
      </c>
      <c r="O46" s="12">
        <v>128624</v>
      </c>
      <c r="P46" s="12">
        <f t="shared" si="8"/>
        <v>47758</v>
      </c>
      <c r="Q46" s="12">
        <f t="shared" si="12"/>
        <v>185335</v>
      </c>
    </row>
    <row r="47" spans="1:17" s="10" customFormat="1" ht="12.75" customHeight="1" x14ac:dyDescent="0.2">
      <c r="A47" s="20" t="s">
        <v>81</v>
      </c>
      <c r="B47" s="12">
        <v>12690</v>
      </c>
      <c r="C47" s="12">
        <v>5816</v>
      </c>
      <c r="D47" s="15">
        <v>172098</v>
      </c>
      <c r="E47" s="12">
        <v>2386</v>
      </c>
      <c r="F47" s="12">
        <f t="shared" si="5"/>
        <v>188218</v>
      </c>
      <c r="G47" s="12">
        <v>88</v>
      </c>
      <c r="H47" s="28">
        <v>4635</v>
      </c>
      <c r="I47" s="12">
        <v>13468</v>
      </c>
      <c r="J47" s="27" t="s">
        <v>94</v>
      </c>
      <c r="K47" s="12">
        <f t="shared" si="11"/>
        <v>206409</v>
      </c>
      <c r="L47" s="28">
        <v>39542</v>
      </c>
      <c r="M47" s="12">
        <f t="shared" ref="M47:M59" si="13">B47+C47+D47+G47+H47+I47+J47-L47</f>
        <v>169253</v>
      </c>
      <c r="N47" s="12">
        <v>180418</v>
      </c>
      <c r="O47" s="12">
        <v>125813</v>
      </c>
      <c r="P47" s="12">
        <f t="shared" si="8"/>
        <v>54605</v>
      </c>
      <c r="Q47" s="12">
        <f t="shared" si="12"/>
        <v>261014</v>
      </c>
    </row>
    <row r="48" spans="1:17" s="10" customFormat="1" ht="15" customHeight="1" x14ac:dyDescent="0.2">
      <c r="A48" s="13" t="s">
        <v>71</v>
      </c>
      <c r="B48" s="12"/>
      <c r="C48" s="12"/>
      <c r="D48" s="15"/>
      <c r="E48" s="12"/>
      <c r="F48" s="12" t="s">
        <v>58</v>
      </c>
      <c r="G48" s="12"/>
      <c r="H48" s="28"/>
      <c r="I48" s="12"/>
      <c r="J48" s="28"/>
      <c r="K48" s="12"/>
      <c r="L48" s="28"/>
      <c r="M48" s="12"/>
      <c r="N48" s="12"/>
      <c r="O48" s="12"/>
      <c r="P48" s="12"/>
      <c r="Q48" s="12"/>
    </row>
    <row r="49" spans="1:17" s="10" customFormat="1" ht="12.75" customHeight="1" x14ac:dyDescent="0.2">
      <c r="A49" s="20" t="s">
        <v>86</v>
      </c>
      <c r="B49" s="12">
        <v>12570</v>
      </c>
      <c r="C49" s="12">
        <v>5761</v>
      </c>
      <c r="D49" s="15">
        <v>214209</v>
      </c>
      <c r="E49" s="12">
        <v>3242</v>
      </c>
      <c r="F49" s="12">
        <f t="shared" si="5"/>
        <v>229298</v>
      </c>
      <c r="G49" s="12">
        <v>88</v>
      </c>
      <c r="H49" s="28">
        <v>4649</v>
      </c>
      <c r="I49" s="12">
        <v>13458</v>
      </c>
      <c r="J49" s="27" t="s">
        <v>94</v>
      </c>
      <c r="K49" s="12">
        <f t="shared" ref="K49:K60" si="14">SUM(F49:J49)</f>
        <v>247493</v>
      </c>
      <c r="L49" s="28">
        <v>39682</v>
      </c>
      <c r="M49" s="12">
        <f t="shared" si="13"/>
        <v>211053</v>
      </c>
      <c r="N49" s="12">
        <v>191136</v>
      </c>
      <c r="O49" s="12">
        <v>113759</v>
      </c>
      <c r="P49" s="12">
        <f t="shared" si="8"/>
        <v>77377</v>
      </c>
      <c r="Q49" s="12">
        <f t="shared" ref="Q49:Q60" si="15">K49+P49</f>
        <v>324870</v>
      </c>
    </row>
    <row r="50" spans="1:17" s="10" customFormat="1" ht="12.75" customHeight="1" x14ac:dyDescent="0.2">
      <c r="A50" s="20" t="s">
        <v>87</v>
      </c>
      <c r="B50" s="12">
        <v>12693</v>
      </c>
      <c r="C50" s="12">
        <v>5978</v>
      </c>
      <c r="D50" s="15">
        <v>136240</v>
      </c>
      <c r="E50" s="12">
        <v>2444</v>
      </c>
      <c r="F50" s="12">
        <f t="shared" si="5"/>
        <v>152467</v>
      </c>
      <c r="G50" s="12">
        <v>88</v>
      </c>
      <c r="H50" s="28">
        <v>4681</v>
      </c>
      <c r="I50" s="12">
        <v>13657</v>
      </c>
      <c r="J50" s="27" t="s">
        <v>94</v>
      </c>
      <c r="K50" s="12">
        <f t="shared" si="14"/>
        <v>170893</v>
      </c>
      <c r="L50" s="28">
        <v>37822.40178</v>
      </c>
      <c r="M50" s="12">
        <f t="shared" si="13"/>
        <v>135514.59821999999</v>
      </c>
      <c r="N50" s="12">
        <v>202137</v>
      </c>
      <c r="O50" s="12">
        <v>105584</v>
      </c>
      <c r="P50" s="12">
        <f t="shared" si="8"/>
        <v>96553</v>
      </c>
      <c r="Q50" s="12">
        <f t="shared" si="15"/>
        <v>267446</v>
      </c>
    </row>
    <row r="51" spans="1:17" s="10" customFormat="1" ht="12.75" customHeight="1" x14ac:dyDescent="0.2">
      <c r="A51" s="20" t="s">
        <v>78</v>
      </c>
      <c r="B51" s="12">
        <v>12739</v>
      </c>
      <c r="C51" s="12">
        <v>5999</v>
      </c>
      <c r="D51" s="15">
        <v>107995</v>
      </c>
      <c r="E51" s="12">
        <v>2739</v>
      </c>
      <c r="F51" s="12">
        <f t="shared" si="5"/>
        <v>123994</v>
      </c>
      <c r="G51" s="12">
        <v>88</v>
      </c>
      <c r="H51" s="28">
        <v>4702.5199199999997</v>
      </c>
      <c r="I51" s="12">
        <v>13654.56666</v>
      </c>
      <c r="J51" s="27" t="s">
        <v>94</v>
      </c>
      <c r="K51" s="12">
        <f t="shared" si="14"/>
        <v>142439.08658</v>
      </c>
      <c r="L51" s="28">
        <v>2590</v>
      </c>
      <c r="M51" s="12">
        <f t="shared" si="13"/>
        <v>142588.08658</v>
      </c>
      <c r="N51" s="12">
        <v>215546</v>
      </c>
      <c r="O51" s="12">
        <v>87227</v>
      </c>
      <c r="P51" s="12">
        <f t="shared" si="8"/>
        <v>128319</v>
      </c>
      <c r="Q51" s="12">
        <f t="shared" si="15"/>
        <v>270758.08658</v>
      </c>
    </row>
    <row r="52" spans="1:17" s="10" customFormat="1" ht="12.75" customHeight="1" x14ac:dyDescent="0.2">
      <c r="A52" s="20" t="s">
        <v>88</v>
      </c>
      <c r="B52" s="12">
        <v>12857</v>
      </c>
      <c r="C52" s="12">
        <v>6055</v>
      </c>
      <c r="D52" s="15">
        <v>139278</v>
      </c>
      <c r="E52" s="12">
        <v>2668</v>
      </c>
      <c r="F52" s="12">
        <f t="shared" si="5"/>
        <v>155522</v>
      </c>
      <c r="G52" s="12">
        <v>88</v>
      </c>
      <c r="H52" s="28">
        <v>4713</v>
      </c>
      <c r="I52" s="12">
        <v>13709</v>
      </c>
      <c r="J52" s="27" t="s">
        <v>94</v>
      </c>
      <c r="K52" s="12">
        <f t="shared" si="14"/>
        <v>174032</v>
      </c>
      <c r="L52" s="28">
        <v>2590</v>
      </c>
      <c r="M52" s="12">
        <f t="shared" si="13"/>
        <v>174110</v>
      </c>
      <c r="N52" s="12">
        <v>212523</v>
      </c>
      <c r="O52" s="12">
        <v>91497</v>
      </c>
      <c r="P52" s="12">
        <f t="shared" si="8"/>
        <v>121026</v>
      </c>
      <c r="Q52" s="12">
        <f t="shared" si="15"/>
        <v>295058</v>
      </c>
    </row>
    <row r="53" spans="1:17" s="10" customFormat="1" ht="12.75" customHeight="1" x14ac:dyDescent="0.2">
      <c r="A53" s="20" t="s">
        <v>89</v>
      </c>
      <c r="B53" s="12">
        <v>12761</v>
      </c>
      <c r="C53" s="12">
        <v>6173</v>
      </c>
      <c r="D53" s="15">
        <v>142919</v>
      </c>
      <c r="E53" s="12">
        <v>2275</v>
      </c>
      <c r="F53" s="12">
        <f t="shared" si="5"/>
        <v>159578</v>
      </c>
      <c r="G53" s="12">
        <v>86</v>
      </c>
      <c r="H53" s="28">
        <v>4719</v>
      </c>
      <c r="I53" s="12">
        <v>13615</v>
      </c>
      <c r="J53" s="27" t="s">
        <v>94</v>
      </c>
      <c r="K53" s="12">
        <f t="shared" si="14"/>
        <v>177998</v>
      </c>
      <c r="L53" s="28">
        <v>2590</v>
      </c>
      <c r="M53" s="12">
        <f t="shared" si="13"/>
        <v>177683</v>
      </c>
      <c r="N53" s="12">
        <v>207412</v>
      </c>
      <c r="O53" s="12">
        <v>79724</v>
      </c>
      <c r="P53" s="12">
        <f t="shared" si="8"/>
        <v>127688</v>
      </c>
      <c r="Q53" s="12">
        <f t="shared" si="15"/>
        <v>305686</v>
      </c>
    </row>
    <row r="54" spans="1:17" s="10" customFormat="1" ht="12.75" customHeight="1" x14ac:dyDescent="0.2">
      <c r="A54" s="20" t="s">
        <v>79</v>
      </c>
      <c r="B54" s="12">
        <v>12784</v>
      </c>
      <c r="C54" s="12">
        <v>6184</v>
      </c>
      <c r="D54" s="15">
        <v>143879</v>
      </c>
      <c r="E54" s="12">
        <v>2540</v>
      </c>
      <c r="F54" s="12">
        <f t="shared" si="5"/>
        <v>160307</v>
      </c>
      <c r="G54" s="12">
        <v>87</v>
      </c>
      <c r="H54" s="28">
        <v>4740</v>
      </c>
      <c r="I54" s="12">
        <v>13611</v>
      </c>
      <c r="J54" s="27" t="s">
        <v>94</v>
      </c>
      <c r="K54" s="12">
        <f t="shared" si="14"/>
        <v>178745</v>
      </c>
      <c r="L54" s="28">
        <v>2590</v>
      </c>
      <c r="M54" s="12">
        <f t="shared" si="13"/>
        <v>178695</v>
      </c>
      <c r="N54" s="12">
        <v>201349</v>
      </c>
      <c r="O54" s="12">
        <v>74005</v>
      </c>
      <c r="P54" s="12">
        <f t="shared" si="8"/>
        <v>127344</v>
      </c>
      <c r="Q54" s="12">
        <f t="shared" si="15"/>
        <v>306089</v>
      </c>
    </row>
    <row r="55" spans="1:17" s="10" customFormat="1" ht="12.75" customHeight="1" x14ac:dyDescent="0.2">
      <c r="A55" s="20" t="s">
        <v>90</v>
      </c>
      <c r="B55" s="12">
        <v>12916</v>
      </c>
      <c r="C55" s="12">
        <v>6248</v>
      </c>
      <c r="D55" s="15">
        <v>142464</v>
      </c>
      <c r="E55" s="12">
        <v>2635</v>
      </c>
      <c r="F55" s="12">
        <f t="shared" si="5"/>
        <v>158993</v>
      </c>
      <c r="G55" s="12">
        <v>87</v>
      </c>
      <c r="H55" s="28">
        <v>4764</v>
      </c>
      <c r="I55" s="12">
        <v>13793</v>
      </c>
      <c r="J55" s="27" t="s">
        <v>94</v>
      </c>
      <c r="K55" s="12">
        <f t="shared" si="14"/>
        <v>177637</v>
      </c>
      <c r="L55" s="28">
        <v>2590</v>
      </c>
      <c r="M55" s="12">
        <f t="shared" si="13"/>
        <v>177682</v>
      </c>
      <c r="N55" s="12">
        <v>206845</v>
      </c>
      <c r="O55" s="12">
        <v>75555</v>
      </c>
      <c r="P55" s="12">
        <f t="shared" si="8"/>
        <v>131290</v>
      </c>
      <c r="Q55" s="12">
        <f t="shared" si="15"/>
        <v>308927</v>
      </c>
    </row>
    <row r="56" spans="1:17" s="10" customFormat="1" ht="12.75" customHeight="1" x14ac:dyDescent="0.2">
      <c r="A56" s="20" t="s">
        <v>91</v>
      </c>
      <c r="B56" s="12">
        <v>12928</v>
      </c>
      <c r="C56" s="12">
        <v>6426</v>
      </c>
      <c r="D56" s="15">
        <v>154957</v>
      </c>
      <c r="E56" s="12">
        <v>2112</v>
      </c>
      <c r="F56" s="12">
        <f t="shared" si="5"/>
        <v>172199</v>
      </c>
      <c r="G56" s="12">
        <v>87</v>
      </c>
      <c r="H56" s="28">
        <v>4764</v>
      </c>
      <c r="I56" s="12">
        <v>13793</v>
      </c>
      <c r="J56" s="27" t="s">
        <v>94</v>
      </c>
      <c r="K56" s="12">
        <f t="shared" si="14"/>
        <v>190843</v>
      </c>
      <c r="L56" s="28">
        <v>2590</v>
      </c>
      <c r="M56" s="12">
        <f t="shared" si="13"/>
        <v>190365</v>
      </c>
      <c r="N56" s="12">
        <v>201979</v>
      </c>
      <c r="O56" s="12">
        <v>76481</v>
      </c>
      <c r="P56" s="12">
        <f t="shared" si="8"/>
        <v>125498</v>
      </c>
      <c r="Q56" s="12">
        <f t="shared" si="15"/>
        <v>316341</v>
      </c>
    </row>
    <row r="57" spans="1:17" s="10" customFormat="1" ht="12.75" customHeight="1" x14ac:dyDescent="0.2">
      <c r="A57" s="20" t="s">
        <v>80</v>
      </c>
      <c r="B57" s="12">
        <v>13131</v>
      </c>
      <c r="C57" s="12">
        <v>6526</v>
      </c>
      <c r="D57" s="15">
        <v>142990</v>
      </c>
      <c r="E57" s="12">
        <v>2091</v>
      </c>
      <c r="F57" s="12">
        <f t="shared" si="5"/>
        <v>160556</v>
      </c>
      <c r="G57" s="12">
        <v>87</v>
      </c>
      <c r="H57" s="28">
        <v>4764</v>
      </c>
      <c r="I57" s="12">
        <v>13793</v>
      </c>
      <c r="J57" s="27" t="s">
        <v>94</v>
      </c>
      <c r="K57" s="12">
        <f t="shared" si="14"/>
        <v>179200</v>
      </c>
      <c r="L57" s="28">
        <v>2590</v>
      </c>
      <c r="M57" s="12">
        <f t="shared" si="13"/>
        <v>178701</v>
      </c>
      <c r="N57" s="12">
        <v>188673</v>
      </c>
      <c r="O57" s="12">
        <v>70209</v>
      </c>
      <c r="P57" s="12">
        <f t="shared" si="8"/>
        <v>118464</v>
      </c>
      <c r="Q57" s="12">
        <f t="shared" si="15"/>
        <v>297664</v>
      </c>
    </row>
    <row r="58" spans="1:17" s="10" customFormat="1" ht="12.75" customHeight="1" x14ac:dyDescent="0.2">
      <c r="A58" s="20" t="s">
        <v>92</v>
      </c>
      <c r="B58" s="12">
        <v>13259</v>
      </c>
      <c r="C58" s="12">
        <v>6591</v>
      </c>
      <c r="D58" s="15">
        <v>133687</v>
      </c>
      <c r="E58" s="12">
        <v>3625</v>
      </c>
      <c r="F58" s="12">
        <f t="shared" si="5"/>
        <v>149912</v>
      </c>
      <c r="G58" s="12">
        <v>87</v>
      </c>
      <c r="H58" s="28">
        <v>4836</v>
      </c>
      <c r="I58" s="12">
        <v>14067</v>
      </c>
      <c r="J58" s="27" t="s">
        <v>94</v>
      </c>
      <c r="K58" s="12">
        <f t="shared" si="14"/>
        <v>168902</v>
      </c>
      <c r="L58" s="28">
        <v>2590</v>
      </c>
      <c r="M58" s="12">
        <f t="shared" si="13"/>
        <v>169937</v>
      </c>
      <c r="N58" s="12">
        <v>179810</v>
      </c>
      <c r="O58" s="12">
        <v>74120</v>
      </c>
      <c r="P58" s="12">
        <f t="shared" si="8"/>
        <v>105690</v>
      </c>
      <c r="Q58" s="12">
        <f t="shared" si="15"/>
        <v>274592</v>
      </c>
    </row>
    <row r="59" spans="1:17" s="10" customFormat="1" ht="12.75" customHeight="1" x14ac:dyDescent="0.2">
      <c r="A59" s="20" t="s">
        <v>93</v>
      </c>
      <c r="B59" s="12">
        <v>13413</v>
      </c>
      <c r="C59" s="12">
        <v>6837</v>
      </c>
      <c r="D59" s="15">
        <v>137555</v>
      </c>
      <c r="E59" s="12">
        <v>3025</v>
      </c>
      <c r="F59" s="12">
        <f t="shared" si="5"/>
        <v>154780</v>
      </c>
      <c r="G59" s="12">
        <v>87</v>
      </c>
      <c r="H59" s="28">
        <v>4863</v>
      </c>
      <c r="I59" s="12">
        <v>14474</v>
      </c>
      <c r="J59" s="27" t="s">
        <v>94</v>
      </c>
      <c r="K59" s="12">
        <f t="shared" si="14"/>
        <v>174204</v>
      </c>
      <c r="L59" s="28">
        <v>2590</v>
      </c>
      <c r="M59" s="12">
        <f t="shared" si="13"/>
        <v>174639</v>
      </c>
      <c r="N59" s="12">
        <v>178227</v>
      </c>
      <c r="O59" s="12">
        <v>71262</v>
      </c>
      <c r="P59" s="12">
        <f t="shared" si="8"/>
        <v>106965</v>
      </c>
      <c r="Q59" s="12">
        <f t="shared" si="15"/>
        <v>281169</v>
      </c>
    </row>
    <row r="60" spans="1:17" s="10" customFormat="1" ht="12.75" customHeight="1" x14ac:dyDescent="0.2">
      <c r="A60" s="20" t="s">
        <v>81</v>
      </c>
      <c r="B60" s="12">
        <v>13330</v>
      </c>
      <c r="C60" s="12">
        <v>6794</v>
      </c>
      <c r="D60" s="15">
        <v>177957</v>
      </c>
      <c r="E60" s="12">
        <v>2402</v>
      </c>
      <c r="F60" s="12">
        <f t="shared" si="5"/>
        <v>195679</v>
      </c>
      <c r="G60" s="12">
        <v>87</v>
      </c>
      <c r="H60" s="28">
        <v>4882</v>
      </c>
      <c r="I60" s="12">
        <v>14479</v>
      </c>
      <c r="J60" s="27" t="s">
        <v>94</v>
      </c>
      <c r="K60" s="12">
        <f t="shared" si="14"/>
        <v>215127</v>
      </c>
      <c r="L60" s="28">
        <v>2467</v>
      </c>
      <c r="M60" s="12">
        <f t="shared" ref="M60:M72" si="16">B60+C60+D60+G60+H60+I60+J60-L60</f>
        <v>215062</v>
      </c>
      <c r="N60" s="12">
        <v>203307</v>
      </c>
      <c r="O60" s="12">
        <v>67283</v>
      </c>
      <c r="P60" s="12">
        <f t="shared" si="8"/>
        <v>136024</v>
      </c>
      <c r="Q60" s="12">
        <f t="shared" si="15"/>
        <v>351151</v>
      </c>
    </row>
    <row r="61" spans="1:17" s="10" customFormat="1" ht="12.75" customHeight="1" x14ac:dyDescent="0.2">
      <c r="A61" s="13" t="s">
        <v>59</v>
      </c>
      <c r="B61" s="14"/>
      <c r="C61" s="14"/>
      <c r="D61" s="14"/>
      <c r="E61" s="14"/>
      <c r="F61" s="14"/>
      <c r="G61" s="14"/>
      <c r="H61" s="14"/>
      <c r="I61" s="14"/>
      <c r="J61" s="14"/>
      <c r="K61" s="14"/>
      <c r="L61" s="14"/>
      <c r="M61" s="14"/>
      <c r="N61" s="14"/>
      <c r="O61" s="14"/>
      <c r="P61" s="14"/>
      <c r="Q61" s="14"/>
    </row>
    <row r="62" spans="1:17" s="10" customFormat="1" ht="12.75" customHeight="1" x14ac:dyDescent="0.2">
      <c r="A62" s="20" t="s">
        <v>86</v>
      </c>
      <c r="B62" s="15">
        <v>13456</v>
      </c>
      <c r="C62" s="15">
        <v>6859</v>
      </c>
      <c r="D62" s="15">
        <v>205156</v>
      </c>
      <c r="E62" s="15">
        <v>2525</v>
      </c>
      <c r="F62" s="15">
        <f t="shared" ref="F62:F73" si="17">B62+C62+D62-E62</f>
        <v>222946</v>
      </c>
      <c r="G62" s="15">
        <v>79</v>
      </c>
      <c r="H62" s="39">
        <v>4910</v>
      </c>
      <c r="I62" s="15">
        <v>14843</v>
      </c>
      <c r="J62" s="27" t="s">
        <v>94</v>
      </c>
      <c r="K62" s="15">
        <f t="shared" ref="K62:K73" si="18">F62+G62+H62+I62+J62</f>
        <v>242778</v>
      </c>
      <c r="L62" s="39">
        <v>2467</v>
      </c>
      <c r="M62" s="15">
        <f t="shared" si="16"/>
        <v>242836</v>
      </c>
      <c r="N62" s="15">
        <v>214938</v>
      </c>
      <c r="O62" s="15">
        <v>53938</v>
      </c>
      <c r="P62" s="15">
        <f>N62-O62</f>
        <v>161000</v>
      </c>
      <c r="Q62" s="15">
        <f>K62+P62</f>
        <v>403778</v>
      </c>
    </row>
    <row r="63" spans="1:17" s="10" customFormat="1" ht="12.75" customHeight="1" x14ac:dyDescent="0.2">
      <c r="A63" s="20" t="s">
        <v>87</v>
      </c>
      <c r="B63" s="15">
        <v>13585</v>
      </c>
      <c r="C63" s="15">
        <v>7076</v>
      </c>
      <c r="D63" s="15">
        <v>180077</v>
      </c>
      <c r="E63" s="15">
        <v>2657</v>
      </c>
      <c r="F63" s="15">
        <f t="shared" si="17"/>
        <v>198081</v>
      </c>
      <c r="G63" s="15">
        <v>79</v>
      </c>
      <c r="H63" s="39">
        <v>4921</v>
      </c>
      <c r="I63" s="15">
        <v>15011</v>
      </c>
      <c r="J63" s="27" t="s">
        <v>94</v>
      </c>
      <c r="K63" s="15">
        <f t="shared" si="18"/>
        <v>218092</v>
      </c>
      <c r="L63" s="39">
        <v>2467</v>
      </c>
      <c r="M63" s="15">
        <f t="shared" si="16"/>
        <v>218282</v>
      </c>
      <c r="N63" s="15">
        <v>203364</v>
      </c>
      <c r="O63" s="15">
        <v>85864</v>
      </c>
      <c r="P63" s="15">
        <f t="shared" ref="P63:P73" si="19">N63-O63</f>
        <v>117500</v>
      </c>
      <c r="Q63" s="15">
        <f t="shared" ref="Q63:Q97" si="20">K63+P63</f>
        <v>335592</v>
      </c>
    </row>
    <row r="64" spans="1:17" s="10" customFormat="1" ht="12.75" customHeight="1" x14ac:dyDescent="0.2">
      <c r="A64" s="20" t="s">
        <v>78</v>
      </c>
      <c r="B64" s="15">
        <v>13872</v>
      </c>
      <c r="C64" s="15">
        <v>7225</v>
      </c>
      <c r="D64" s="15">
        <v>181727</v>
      </c>
      <c r="E64" s="15">
        <v>2129</v>
      </c>
      <c r="F64" s="15">
        <f t="shared" si="17"/>
        <v>200695</v>
      </c>
      <c r="G64" s="15">
        <v>80</v>
      </c>
      <c r="H64" s="39">
        <v>4935</v>
      </c>
      <c r="I64" s="15">
        <v>15140</v>
      </c>
      <c r="J64" s="27" t="s">
        <v>94</v>
      </c>
      <c r="K64" s="15">
        <f t="shared" si="18"/>
        <v>220850</v>
      </c>
      <c r="L64" s="39">
        <v>2467</v>
      </c>
      <c r="M64" s="15">
        <f t="shared" si="16"/>
        <v>220512</v>
      </c>
      <c r="N64" s="15">
        <v>229926</v>
      </c>
      <c r="O64" s="15">
        <v>86315</v>
      </c>
      <c r="P64" s="15">
        <f t="shared" si="19"/>
        <v>143611</v>
      </c>
      <c r="Q64" s="15">
        <f t="shared" si="20"/>
        <v>364461</v>
      </c>
    </row>
    <row r="65" spans="1:17" s="10" customFormat="1" ht="12.75" x14ac:dyDescent="0.2">
      <c r="A65" s="20" t="s">
        <v>88</v>
      </c>
      <c r="B65" s="15">
        <v>13697</v>
      </c>
      <c r="C65" s="15">
        <v>7134</v>
      </c>
      <c r="D65" s="15">
        <v>208093</v>
      </c>
      <c r="E65" s="15">
        <v>2254</v>
      </c>
      <c r="F65" s="15">
        <f t="shared" si="17"/>
        <v>226670</v>
      </c>
      <c r="G65" s="15">
        <v>80</v>
      </c>
      <c r="H65" s="39">
        <v>4938</v>
      </c>
      <c r="I65" s="15">
        <v>14888</v>
      </c>
      <c r="J65" s="27" t="s">
        <v>94</v>
      </c>
      <c r="K65" s="15">
        <f t="shared" si="18"/>
        <v>246576</v>
      </c>
      <c r="L65" s="39">
        <v>2467</v>
      </c>
      <c r="M65" s="15">
        <f t="shared" si="16"/>
        <v>246363</v>
      </c>
      <c r="N65" s="15">
        <v>225219</v>
      </c>
      <c r="O65" s="15">
        <v>76856</v>
      </c>
      <c r="P65" s="15">
        <f t="shared" si="19"/>
        <v>148363</v>
      </c>
      <c r="Q65" s="15">
        <f t="shared" si="20"/>
        <v>394939</v>
      </c>
    </row>
    <row r="66" spans="1:17" s="10" customFormat="1" ht="12.75" customHeight="1" x14ac:dyDescent="0.2">
      <c r="A66" s="20" t="s">
        <v>89</v>
      </c>
      <c r="B66" s="12">
        <v>13671</v>
      </c>
      <c r="C66" s="12">
        <v>7243</v>
      </c>
      <c r="D66" s="15">
        <v>221505</v>
      </c>
      <c r="E66" s="12">
        <v>1752</v>
      </c>
      <c r="F66" s="12">
        <f t="shared" si="17"/>
        <v>240667</v>
      </c>
      <c r="G66" s="12">
        <v>78</v>
      </c>
      <c r="H66" s="28">
        <v>4950</v>
      </c>
      <c r="I66" s="12">
        <v>14697</v>
      </c>
      <c r="J66" s="27" t="s">
        <v>94</v>
      </c>
      <c r="K66" s="12">
        <f t="shared" si="18"/>
        <v>260392</v>
      </c>
      <c r="L66" s="28">
        <v>2467</v>
      </c>
      <c r="M66" s="12">
        <f t="shared" si="16"/>
        <v>259677</v>
      </c>
      <c r="N66" s="12">
        <v>218647</v>
      </c>
      <c r="O66" s="12">
        <v>70181</v>
      </c>
      <c r="P66" s="12">
        <f t="shared" si="19"/>
        <v>148466</v>
      </c>
      <c r="Q66" s="12">
        <f t="shared" si="20"/>
        <v>408858</v>
      </c>
    </row>
    <row r="67" spans="1:17" s="10" customFormat="1" ht="12.75" customHeight="1" x14ac:dyDescent="0.2">
      <c r="A67" s="20" t="s">
        <v>79</v>
      </c>
      <c r="B67" s="12">
        <v>13780</v>
      </c>
      <c r="C67" s="12">
        <v>7300</v>
      </c>
      <c r="D67" s="15">
        <v>235490</v>
      </c>
      <c r="E67" s="12">
        <v>1792</v>
      </c>
      <c r="F67" s="12">
        <f t="shared" si="17"/>
        <v>254778</v>
      </c>
      <c r="G67" s="12">
        <v>78</v>
      </c>
      <c r="H67" s="28">
        <v>4962</v>
      </c>
      <c r="I67" s="12">
        <v>14847</v>
      </c>
      <c r="J67" s="27" t="s">
        <v>94</v>
      </c>
      <c r="K67" s="12">
        <f t="shared" si="18"/>
        <v>274665</v>
      </c>
      <c r="L67" s="28">
        <v>2467</v>
      </c>
      <c r="M67" s="12">
        <f t="shared" si="16"/>
        <v>273990</v>
      </c>
      <c r="N67" s="12">
        <v>226300</v>
      </c>
      <c r="O67" s="12">
        <v>69844</v>
      </c>
      <c r="P67" s="12">
        <f t="shared" si="19"/>
        <v>156456</v>
      </c>
      <c r="Q67" s="12">
        <f t="shared" si="20"/>
        <v>431121</v>
      </c>
    </row>
    <row r="68" spans="1:17" s="10" customFormat="1" ht="12.75" customHeight="1" x14ac:dyDescent="0.2">
      <c r="A68" s="20" t="s">
        <v>90</v>
      </c>
      <c r="B68" s="12">
        <v>13672</v>
      </c>
      <c r="C68" s="12">
        <v>7243</v>
      </c>
      <c r="D68" s="15">
        <v>269413</v>
      </c>
      <c r="E68" s="12">
        <v>1788</v>
      </c>
      <c r="F68" s="12">
        <f t="shared" si="17"/>
        <v>288540</v>
      </c>
      <c r="G68" s="12">
        <v>79</v>
      </c>
      <c r="H68" s="28">
        <v>4967</v>
      </c>
      <c r="I68" s="12">
        <v>14902</v>
      </c>
      <c r="J68" s="27" t="s">
        <v>94</v>
      </c>
      <c r="K68" s="12">
        <f t="shared" si="18"/>
        <v>308488</v>
      </c>
      <c r="L68" s="28">
        <v>2467</v>
      </c>
      <c r="M68" s="12">
        <f t="shared" si="16"/>
        <v>307809</v>
      </c>
      <c r="N68" s="12">
        <v>219026</v>
      </c>
      <c r="O68" s="12">
        <v>83677</v>
      </c>
      <c r="P68" s="12">
        <f t="shared" si="19"/>
        <v>135349</v>
      </c>
      <c r="Q68" s="12">
        <f t="shared" si="20"/>
        <v>443837</v>
      </c>
    </row>
    <row r="69" spans="1:17" s="10" customFormat="1" ht="12.75" customHeight="1" x14ac:dyDescent="0.2">
      <c r="A69" s="20" t="s">
        <v>91</v>
      </c>
      <c r="B69" s="12">
        <v>13242</v>
      </c>
      <c r="C69" s="12">
        <v>7145</v>
      </c>
      <c r="D69" s="15">
        <v>273388</v>
      </c>
      <c r="E69" s="12">
        <v>2522</v>
      </c>
      <c r="F69" s="12">
        <f t="shared" si="17"/>
        <v>291253</v>
      </c>
      <c r="G69" s="12">
        <v>79</v>
      </c>
      <c r="H69" s="28">
        <v>4980</v>
      </c>
      <c r="I69" s="12">
        <v>15056</v>
      </c>
      <c r="J69" s="27" t="s">
        <v>94</v>
      </c>
      <c r="K69" s="12">
        <f t="shared" si="18"/>
        <v>311368</v>
      </c>
      <c r="L69" s="28">
        <v>2467</v>
      </c>
      <c r="M69" s="12">
        <f t="shared" si="16"/>
        <v>311423</v>
      </c>
      <c r="N69" s="12">
        <v>205464</v>
      </c>
      <c r="O69" s="12">
        <v>102707</v>
      </c>
      <c r="P69" s="12">
        <f t="shared" si="19"/>
        <v>102757</v>
      </c>
      <c r="Q69" s="12">
        <f t="shared" si="20"/>
        <v>414125</v>
      </c>
    </row>
    <row r="70" spans="1:17" s="10" customFormat="1" ht="12.75" customHeight="1" x14ac:dyDescent="0.2">
      <c r="A70" s="20" t="s">
        <v>80</v>
      </c>
      <c r="B70" s="12">
        <v>13135</v>
      </c>
      <c r="C70" s="12">
        <v>7087</v>
      </c>
      <c r="D70" s="15">
        <v>300556</v>
      </c>
      <c r="E70" s="12">
        <v>1701</v>
      </c>
      <c r="F70" s="12">
        <f t="shared" si="17"/>
        <v>319077</v>
      </c>
      <c r="G70" s="12">
        <v>71</v>
      </c>
      <c r="H70" s="28">
        <v>4991</v>
      </c>
      <c r="I70" s="12">
        <v>15114</v>
      </c>
      <c r="J70" s="27" t="s">
        <v>94</v>
      </c>
      <c r="K70" s="12">
        <f t="shared" si="18"/>
        <v>339253</v>
      </c>
      <c r="L70" s="28">
        <v>2467</v>
      </c>
      <c r="M70" s="12">
        <f t="shared" si="16"/>
        <v>338487</v>
      </c>
      <c r="N70" s="12">
        <v>193155</v>
      </c>
      <c r="O70" s="12">
        <v>110409</v>
      </c>
      <c r="P70" s="12">
        <f t="shared" si="19"/>
        <v>82746</v>
      </c>
      <c r="Q70" s="12">
        <f t="shared" si="20"/>
        <v>421999</v>
      </c>
    </row>
    <row r="71" spans="1:17" s="10" customFormat="1" ht="12.75" customHeight="1" x14ac:dyDescent="0.2">
      <c r="A71" s="20" t="s">
        <v>92</v>
      </c>
      <c r="B71" s="12">
        <v>12554</v>
      </c>
      <c r="C71" s="12">
        <v>6774</v>
      </c>
      <c r="D71" s="15">
        <v>305168</v>
      </c>
      <c r="E71" s="12">
        <v>2826</v>
      </c>
      <c r="F71" s="12">
        <f t="shared" si="17"/>
        <v>321670</v>
      </c>
      <c r="G71" s="12">
        <v>62</v>
      </c>
      <c r="H71" s="28">
        <v>4997</v>
      </c>
      <c r="I71" s="12">
        <v>15075</v>
      </c>
      <c r="J71" s="27" t="s">
        <v>94</v>
      </c>
      <c r="K71" s="12">
        <f t="shared" si="18"/>
        <v>341804</v>
      </c>
      <c r="L71" s="28">
        <v>2467</v>
      </c>
      <c r="M71" s="12">
        <f t="shared" si="16"/>
        <v>342163</v>
      </c>
      <c r="N71" s="12">
        <v>195680</v>
      </c>
      <c r="O71" s="12">
        <v>137376</v>
      </c>
      <c r="P71" s="12">
        <f t="shared" si="19"/>
        <v>58304</v>
      </c>
      <c r="Q71" s="12">
        <f t="shared" si="20"/>
        <v>400108</v>
      </c>
    </row>
    <row r="72" spans="1:17" s="10" customFormat="1" ht="12.75" customHeight="1" x14ac:dyDescent="0.2">
      <c r="A72" s="20" t="s">
        <v>93</v>
      </c>
      <c r="B72" s="12">
        <v>12603</v>
      </c>
      <c r="C72" s="12">
        <v>6910</v>
      </c>
      <c r="D72" s="15">
        <v>295837</v>
      </c>
      <c r="E72" s="12">
        <v>2227</v>
      </c>
      <c r="F72" s="12">
        <f t="shared" si="17"/>
        <v>313123</v>
      </c>
      <c r="G72" s="12">
        <v>55</v>
      </c>
      <c r="H72" s="28">
        <v>5007</v>
      </c>
      <c r="I72" s="12">
        <v>15842</v>
      </c>
      <c r="J72" s="27" t="s">
        <v>94</v>
      </c>
      <c r="K72" s="12">
        <f t="shared" si="18"/>
        <v>334027</v>
      </c>
      <c r="L72" s="28">
        <v>2344</v>
      </c>
      <c r="M72" s="12">
        <f t="shared" si="16"/>
        <v>333910</v>
      </c>
      <c r="N72" s="12">
        <v>209959</v>
      </c>
      <c r="O72" s="12">
        <v>139883</v>
      </c>
      <c r="P72" s="12">
        <f t="shared" si="19"/>
        <v>70076</v>
      </c>
      <c r="Q72" s="12">
        <f t="shared" si="20"/>
        <v>404103</v>
      </c>
    </row>
    <row r="73" spans="1:17" s="10" customFormat="1" ht="12.75" customHeight="1" x14ac:dyDescent="0.2">
      <c r="A73" s="20" t="s">
        <v>81</v>
      </c>
      <c r="B73" s="15">
        <v>12992</v>
      </c>
      <c r="C73" s="15">
        <v>7124</v>
      </c>
      <c r="D73" s="15">
        <v>291590</v>
      </c>
      <c r="E73" s="15">
        <v>3167</v>
      </c>
      <c r="F73" s="15">
        <f t="shared" si="17"/>
        <v>308539</v>
      </c>
      <c r="G73" s="15">
        <v>53</v>
      </c>
      <c r="H73" s="39">
        <v>5018</v>
      </c>
      <c r="I73" s="15">
        <v>16404</v>
      </c>
      <c r="J73" s="27" t="s">
        <v>94</v>
      </c>
      <c r="K73" s="15">
        <f t="shared" si="18"/>
        <v>330014</v>
      </c>
      <c r="L73" s="39">
        <v>2344</v>
      </c>
      <c r="M73" s="15">
        <f t="shared" ref="M73:M85" si="21">B73+C73+D73+G73+H73+I73+J73-L73</f>
        <v>330837</v>
      </c>
      <c r="N73" s="15">
        <v>235495</v>
      </c>
      <c r="O73" s="15">
        <v>140103</v>
      </c>
      <c r="P73" s="15">
        <f t="shared" si="19"/>
        <v>95392</v>
      </c>
      <c r="Q73" s="15">
        <f t="shared" si="20"/>
        <v>425406</v>
      </c>
    </row>
    <row r="74" spans="1:17" s="10" customFormat="1" ht="12.75" customHeight="1" x14ac:dyDescent="0.2">
      <c r="A74" s="13" t="s">
        <v>60</v>
      </c>
      <c r="B74" s="12"/>
      <c r="C74" s="12"/>
      <c r="D74" s="15"/>
      <c r="E74" s="12"/>
      <c r="F74" s="12"/>
      <c r="G74" s="12"/>
      <c r="H74" s="28"/>
      <c r="I74" s="12"/>
      <c r="J74" s="28"/>
      <c r="K74" s="12"/>
      <c r="L74" s="28"/>
      <c r="M74" s="12"/>
      <c r="N74" s="12"/>
      <c r="O74" s="12"/>
      <c r="P74" s="12"/>
      <c r="Q74" s="12"/>
    </row>
    <row r="75" spans="1:17" s="10" customFormat="1" ht="12.75" customHeight="1" x14ac:dyDescent="0.2">
      <c r="A75" s="20" t="s">
        <v>86</v>
      </c>
      <c r="B75" s="12">
        <v>12585</v>
      </c>
      <c r="C75" s="12">
        <v>6900</v>
      </c>
      <c r="D75" s="15">
        <v>313767</v>
      </c>
      <c r="E75" s="12">
        <v>2213</v>
      </c>
      <c r="F75" s="12">
        <f t="shared" ref="F75:F86" si="22">B75+C75+D75-E75</f>
        <v>331039</v>
      </c>
      <c r="G75" s="12">
        <v>51</v>
      </c>
      <c r="H75" s="28">
        <v>5019</v>
      </c>
      <c r="I75" s="12">
        <v>15967</v>
      </c>
      <c r="J75" s="27" t="s">
        <v>94</v>
      </c>
      <c r="K75" s="12">
        <f t="shared" ref="K75:K86" si="23">F75+G75+H75+I75+J75</f>
        <v>352076</v>
      </c>
      <c r="L75" s="28">
        <v>2344</v>
      </c>
      <c r="M75" s="12">
        <f t="shared" si="21"/>
        <v>351945</v>
      </c>
      <c r="N75" s="12">
        <v>232128</v>
      </c>
      <c r="O75" s="12">
        <v>131107</v>
      </c>
      <c r="P75" s="12">
        <f t="shared" ref="P75:P99" si="24">N75-O75</f>
        <v>101021</v>
      </c>
      <c r="Q75" s="12">
        <f t="shared" si="20"/>
        <v>453097</v>
      </c>
    </row>
    <row r="76" spans="1:17" s="10" customFormat="1" ht="12.75" customHeight="1" x14ac:dyDescent="0.2">
      <c r="A76" s="20" t="s">
        <v>87</v>
      </c>
      <c r="B76" s="12">
        <v>12378</v>
      </c>
      <c r="C76" s="12">
        <v>6759</v>
      </c>
      <c r="D76" s="15">
        <v>301589</v>
      </c>
      <c r="E76" s="12">
        <v>3048</v>
      </c>
      <c r="F76" s="12">
        <f t="shared" si="22"/>
        <v>317678</v>
      </c>
      <c r="G76" s="12">
        <v>51</v>
      </c>
      <c r="H76" s="28">
        <v>5025</v>
      </c>
      <c r="I76" s="12">
        <v>15883</v>
      </c>
      <c r="J76" s="27" t="s">
        <v>94</v>
      </c>
      <c r="K76" s="12">
        <f t="shared" si="23"/>
        <v>338637</v>
      </c>
      <c r="L76" s="28">
        <v>2344</v>
      </c>
      <c r="M76" s="12">
        <f t="shared" si="21"/>
        <v>339341</v>
      </c>
      <c r="N76" s="12">
        <v>227334</v>
      </c>
      <c r="O76" s="12">
        <v>110245</v>
      </c>
      <c r="P76" s="12">
        <f t="shared" si="24"/>
        <v>117089</v>
      </c>
      <c r="Q76" s="12">
        <f t="shared" si="20"/>
        <v>455726</v>
      </c>
    </row>
    <row r="77" spans="1:17" s="10" customFormat="1" ht="12.75" customHeight="1" x14ac:dyDescent="0.2">
      <c r="A77" s="20" t="s">
        <v>78</v>
      </c>
      <c r="B77" s="12">
        <v>12611</v>
      </c>
      <c r="C77" s="12">
        <v>6887</v>
      </c>
      <c r="D77" s="15">
        <v>295806</v>
      </c>
      <c r="E77" s="12">
        <v>2572</v>
      </c>
      <c r="F77" s="12">
        <f t="shared" si="22"/>
        <v>312732</v>
      </c>
      <c r="G77" s="12">
        <v>50</v>
      </c>
      <c r="H77" s="28">
        <v>5033</v>
      </c>
      <c r="I77" s="12">
        <v>16161</v>
      </c>
      <c r="J77" s="27" t="s">
        <v>94</v>
      </c>
      <c r="K77" s="12">
        <f t="shared" si="23"/>
        <v>333976</v>
      </c>
      <c r="L77" s="28">
        <v>2344</v>
      </c>
      <c r="M77" s="12">
        <f t="shared" si="21"/>
        <v>334204</v>
      </c>
      <c r="N77" s="12">
        <v>228079</v>
      </c>
      <c r="O77" s="12">
        <v>92257</v>
      </c>
      <c r="P77" s="12">
        <f t="shared" si="24"/>
        <v>135822</v>
      </c>
      <c r="Q77" s="12">
        <f t="shared" si="20"/>
        <v>469798</v>
      </c>
    </row>
    <row r="78" spans="1:17" s="10" customFormat="1" ht="12.75" customHeight="1" x14ac:dyDescent="0.2">
      <c r="A78" s="20" t="s">
        <v>88</v>
      </c>
      <c r="B78" s="15">
        <v>12634</v>
      </c>
      <c r="C78" s="15">
        <v>6900</v>
      </c>
      <c r="D78" s="15">
        <v>320565</v>
      </c>
      <c r="E78" s="15">
        <v>2964</v>
      </c>
      <c r="F78" s="15">
        <f t="shared" si="22"/>
        <v>337135</v>
      </c>
      <c r="G78" s="15">
        <v>52</v>
      </c>
      <c r="H78" s="39">
        <v>5033</v>
      </c>
      <c r="I78" s="15">
        <v>15886</v>
      </c>
      <c r="J78" s="27" t="s">
        <v>94</v>
      </c>
      <c r="K78" s="15">
        <f t="shared" si="23"/>
        <v>358106</v>
      </c>
      <c r="L78" s="39">
        <v>2344</v>
      </c>
      <c r="M78" s="15">
        <f t="shared" si="21"/>
        <v>358726</v>
      </c>
      <c r="N78" s="15">
        <v>227895</v>
      </c>
      <c r="O78" s="15">
        <v>88758</v>
      </c>
      <c r="P78" s="15">
        <f t="shared" si="24"/>
        <v>139137</v>
      </c>
      <c r="Q78" s="15">
        <f t="shared" si="20"/>
        <v>497243</v>
      </c>
    </row>
    <row r="79" spans="1:17" s="10" customFormat="1" ht="12.75" customHeight="1" x14ac:dyDescent="0.2">
      <c r="A79" s="20" t="s">
        <v>89</v>
      </c>
      <c r="B79" s="12">
        <v>13058</v>
      </c>
      <c r="C79" s="12">
        <v>7111</v>
      </c>
      <c r="D79" s="15">
        <v>319051</v>
      </c>
      <c r="E79" s="12">
        <v>1680</v>
      </c>
      <c r="F79" s="12">
        <f t="shared" si="22"/>
        <v>337540</v>
      </c>
      <c r="G79" s="12">
        <v>54</v>
      </c>
      <c r="H79" s="28">
        <v>5040</v>
      </c>
      <c r="I79" s="12">
        <v>15796</v>
      </c>
      <c r="J79" s="27" t="s">
        <v>94</v>
      </c>
      <c r="K79" s="12">
        <f t="shared" si="23"/>
        <v>358430</v>
      </c>
      <c r="L79" s="28">
        <v>2344</v>
      </c>
      <c r="M79" s="12">
        <f t="shared" si="21"/>
        <v>357766</v>
      </c>
      <c r="N79" s="12">
        <v>236279</v>
      </c>
      <c r="O79" s="12">
        <v>85378</v>
      </c>
      <c r="P79" s="12">
        <f t="shared" si="24"/>
        <v>150901</v>
      </c>
      <c r="Q79" s="12">
        <f t="shared" si="20"/>
        <v>509331</v>
      </c>
    </row>
    <row r="80" spans="1:17" s="10" customFormat="1" ht="12.75" customHeight="1" x14ac:dyDescent="0.2">
      <c r="A80" s="20" t="s">
        <v>79</v>
      </c>
      <c r="B80" s="12">
        <v>13094</v>
      </c>
      <c r="C80" s="12">
        <v>7131</v>
      </c>
      <c r="D80" s="15">
        <v>313236</v>
      </c>
      <c r="E80" s="12">
        <v>1398</v>
      </c>
      <c r="F80" s="12">
        <f t="shared" si="22"/>
        <v>332063</v>
      </c>
      <c r="G80" s="12">
        <v>57</v>
      </c>
      <c r="H80" s="28">
        <v>5047</v>
      </c>
      <c r="I80" s="12">
        <v>15769</v>
      </c>
      <c r="J80" s="27" t="s">
        <v>94</v>
      </c>
      <c r="K80" s="12">
        <f t="shared" si="23"/>
        <v>352936</v>
      </c>
      <c r="L80" s="28">
        <v>2344</v>
      </c>
      <c r="M80" s="12">
        <f t="shared" si="21"/>
        <v>351990</v>
      </c>
      <c r="N80" s="12">
        <v>204655</v>
      </c>
      <c r="O80" s="12">
        <v>73036</v>
      </c>
      <c r="P80" s="12">
        <f t="shared" si="24"/>
        <v>131619</v>
      </c>
      <c r="Q80" s="12">
        <f t="shared" si="20"/>
        <v>484555</v>
      </c>
    </row>
    <row r="81" spans="1:17" s="10" customFormat="1" ht="12.75" customHeight="1" x14ac:dyDescent="0.2">
      <c r="A81" s="20" t="s">
        <v>90</v>
      </c>
      <c r="B81" s="12">
        <v>13103</v>
      </c>
      <c r="C81" s="12">
        <v>7135</v>
      </c>
      <c r="D81" s="15">
        <v>363844</v>
      </c>
      <c r="E81" s="12">
        <v>3537</v>
      </c>
      <c r="F81" s="12">
        <f t="shared" si="22"/>
        <v>380545</v>
      </c>
      <c r="G81" s="12">
        <v>57</v>
      </c>
      <c r="H81" s="28">
        <v>5047</v>
      </c>
      <c r="I81" s="12">
        <v>15815</v>
      </c>
      <c r="J81" s="27" t="s">
        <v>94</v>
      </c>
      <c r="K81" s="12">
        <f t="shared" si="23"/>
        <v>401464</v>
      </c>
      <c r="L81" s="28">
        <v>2344</v>
      </c>
      <c r="M81" s="12">
        <f t="shared" si="21"/>
        <v>402657</v>
      </c>
      <c r="N81" s="12">
        <v>198769</v>
      </c>
      <c r="O81" s="12">
        <v>78009</v>
      </c>
      <c r="P81" s="12">
        <f t="shared" si="24"/>
        <v>120760</v>
      </c>
      <c r="Q81" s="12">
        <f t="shared" si="20"/>
        <v>522224</v>
      </c>
    </row>
    <row r="82" spans="1:17" s="10" customFormat="1" ht="12.75" customHeight="1" x14ac:dyDescent="0.2">
      <c r="A82" s="20" t="s">
        <v>91</v>
      </c>
      <c r="B82" s="12">
        <v>13210</v>
      </c>
      <c r="C82" s="12">
        <v>50810</v>
      </c>
      <c r="D82" s="15">
        <v>334131</v>
      </c>
      <c r="E82" s="12">
        <v>2408</v>
      </c>
      <c r="F82" s="12">
        <f t="shared" si="22"/>
        <v>395743</v>
      </c>
      <c r="G82" s="12">
        <v>58</v>
      </c>
      <c r="H82" s="40" t="s">
        <v>94</v>
      </c>
      <c r="I82" s="12">
        <v>15815</v>
      </c>
      <c r="J82" s="27" t="s">
        <v>94</v>
      </c>
      <c r="K82" s="12">
        <f t="shared" si="23"/>
        <v>411616</v>
      </c>
      <c r="L82" s="28">
        <v>2344</v>
      </c>
      <c r="M82" s="12">
        <f t="shared" si="21"/>
        <v>411680</v>
      </c>
      <c r="N82" s="12">
        <v>186248</v>
      </c>
      <c r="O82" s="12">
        <v>72742</v>
      </c>
      <c r="P82" s="12">
        <f t="shared" si="24"/>
        <v>113506</v>
      </c>
      <c r="Q82" s="12">
        <f t="shared" si="20"/>
        <v>525122</v>
      </c>
    </row>
    <row r="83" spans="1:17" s="10" customFormat="1" ht="12.75" customHeight="1" x14ac:dyDescent="0.2">
      <c r="A83" s="20" t="s">
        <v>80</v>
      </c>
      <c r="B83" s="12">
        <v>13364</v>
      </c>
      <c r="C83" s="12">
        <v>63945</v>
      </c>
      <c r="D83" s="15">
        <v>339644</v>
      </c>
      <c r="E83" s="12">
        <v>2143</v>
      </c>
      <c r="F83" s="12">
        <f t="shared" si="22"/>
        <v>414810</v>
      </c>
      <c r="G83" s="12">
        <v>57</v>
      </c>
      <c r="H83" s="27" t="s">
        <v>94</v>
      </c>
      <c r="I83" s="12">
        <v>16034</v>
      </c>
      <c r="J83" s="27" t="s">
        <v>94</v>
      </c>
      <c r="K83" s="12">
        <f t="shared" si="23"/>
        <v>430901</v>
      </c>
      <c r="L83" s="28">
        <v>10439</v>
      </c>
      <c r="M83" s="12">
        <f t="shared" si="21"/>
        <v>422605</v>
      </c>
      <c r="N83" s="12">
        <v>190385</v>
      </c>
      <c r="O83" s="12">
        <v>84302</v>
      </c>
      <c r="P83" s="12">
        <f t="shared" si="24"/>
        <v>106083</v>
      </c>
      <c r="Q83" s="12">
        <f t="shared" si="20"/>
        <v>536984</v>
      </c>
    </row>
    <row r="84" spans="1:17" s="10" customFormat="1" ht="12.75" customHeight="1" x14ac:dyDescent="0.2">
      <c r="A84" s="20" t="s">
        <v>92</v>
      </c>
      <c r="B84" s="12">
        <v>13411</v>
      </c>
      <c r="C84" s="12">
        <v>64168</v>
      </c>
      <c r="D84" s="15">
        <v>337405</v>
      </c>
      <c r="E84" s="12">
        <v>1571</v>
      </c>
      <c r="F84" s="12">
        <f t="shared" si="22"/>
        <v>413413</v>
      </c>
      <c r="G84" s="12">
        <v>51</v>
      </c>
      <c r="H84" s="27" t="s">
        <v>94</v>
      </c>
      <c r="I84" s="12">
        <v>16011</v>
      </c>
      <c r="J84" s="27" t="s">
        <v>94</v>
      </c>
      <c r="K84" s="12">
        <f t="shared" si="23"/>
        <v>429475</v>
      </c>
      <c r="L84" s="28">
        <v>10439</v>
      </c>
      <c r="M84" s="12">
        <f t="shared" si="21"/>
        <v>420607</v>
      </c>
      <c r="N84" s="12">
        <v>174762</v>
      </c>
      <c r="O84" s="12">
        <v>72575</v>
      </c>
      <c r="P84" s="12">
        <f t="shared" si="24"/>
        <v>102187</v>
      </c>
      <c r="Q84" s="12">
        <f t="shared" si="20"/>
        <v>531662</v>
      </c>
    </row>
    <row r="85" spans="1:17" s="10" customFormat="1" ht="12.75" customHeight="1" x14ac:dyDescent="0.2">
      <c r="A85" s="20" t="s">
        <v>93</v>
      </c>
      <c r="B85" s="12">
        <v>13582</v>
      </c>
      <c r="C85" s="12">
        <v>64950</v>
      </c>
      <c r="D85" s="15">
        <v>342014</v>
      </c>
      <c r="E85" s="12">
        <v>1408</v>
      </c>
      <c r="F85" s="12">
        <f t="shared" si="22"/>
        <v>419138</v>
      </c>
      <c r="G85" s="12">
        <v>51</v>
      </c>
      <c r="H85" s="27" t="s">
        <v>94</v>
      </c>
      <c r="I85" s="12">
        <v>16176</v>
      </c>
      <c r="J85" s="27" t="s">
        <v>94</v>
      </c>
      <c r="K85" s="12">
        <f t="shared" si="23"/>
        <v>435365</v>
      </c>
      <c r="L85" s="28">
        <v>10481</v>
      </c>
      <c r="M85" s="12">
        <f t="shared" si="21"/>
        <v>426292</v>
      </c>
      <c r="N85" s="12">
        <v>186173</v>
      </c>
      <c r="O85" s="12">
        <v>69912</v>
      </c>
      <c r="P85" s="12">
        <f t="shared" si="24"/>
        <v>116261</v>
      </c>
      <c r="Q85" s="12">
        <f t="shared" si="20"/>
        <v>551626</v>
      </c>
    </row>
    <row r="86" spans="1:17" s="10" customFormat="1" ht="12.75" customHeight="1" x14ac:dyDescent="0.2">
      <c r="A86" s="20" t="s">
        <v>81</v>
      </c>
      <c r="B86" s="12">
        <v>13224</v>
      </c>
      <c r="C86" s="12">
        <v>63236</v>
      </c>
      <c r="D86" s="15">
        <v>343352</v>
      </c>
      <c r="E86" s="12">
        <v>1059</v>
      </c>
      <c r="F86" s="12">
        <f t="shared" si="22"/>
        <v>418753</v>
      </c>
      <c r="G86" s="12">
        <v>50</v>
      </c>
      <c r="H86" s="27" t="s">
        <v>94</v>
      </c>
      <c r="I86" s="12">
        <v>15841</v>
      </c>
      <c r="J86" s="27" t="s">
        <v>94</v>
      </c>
      <c r="K86" s="12">
        <f t="shared" si="23"/>
        <v>434644</v>
      </c>
      <c r="L86" s="28">
        <v>10410</v>
      </c>
      <c r="M86" s="12">
        <f t="shared" ref="M86:M99" si="25">B86+C86+D86+G86+H86+I86+J86-L86</f>
        <v>425293</v>
      </c>
      <c r="N86" s="12">
        <v>203943</v>
      </c>
      <c r="O86" s="12">
        <v>74152</v>
      </c>
      <c r="P86" s="12">
        <f t="shared" si="24"/>
        <v>129791</v>
      </c>
      <c r="Q86" s="12">
        <f t="shared" si="20"/>
        <v>564435</v>
      </c>
    </row>
    <row r="87" spans="1:17" s="10" customFormat="1" ht="15" customHeight="1" x14ac:dyDescent="0.2">
      <c r="A87" s="13" t="s">
        <v>61</v>
      </c>
      <c r="B87" s="12"/>
      <c r="C87" s="12"/>
      <c r="D87" s="15"/>
      <c r="E87" s="12"/>
      <c r="F87" s="12"/>
      <c r="G87" s="12"/>
      <c r="H87" s="28"/>
      <c r="I87" s="12"/>
      <c r="J87" s="28"/>
      <c r="K87" s="12"/>
      <c r="L87" s="28"/>
      <c r="M87" s="12"/>
      <c r="N87" s="12"/>
      <c r="O87" s="12"/>
      <c r="P87" s="12"/>
      <c r="Q87" s="12"/>
    </row>
    <row r="88" spans="1:17" s="10" customFormat="1" ht="12.75" x14ac:dyDescent="0.2">
      <c r="A88" s="20" t="s">
        <v>86</v>
      </c>
      <c r="B88" s="21">
        <v>13110</v>
      </c>
      <c r="C88" s="21">
        <v>62692</v>
      </c>
      <c r="D88" s="21">
        <v>335432</v>
      </c>
      <c r="E88" s="21">
        <v>2463</v>
      </c>
      <c r="F88" s="21">
        <f t="shared" ref="F88:F98" si="26">B88+C88+D88-E88</f>
        <v>408771</v>
      </c>
      <c r="G88" s="21">
        <v>49</v>
      </c>
      <c r="H88" s="27" t="s">
        <v>94</v>
      </c>
      <c r="I88" s="21">
        <v>16029</v>
      </c>
      <c r="J88" s="27" t="s">
        <v>94</v>
      </c>
      <c r="K88" s="12">
        <f t="shared" ref="K88:K99" si="27">F88+G88+H88+I88+J88</f>
        <v>424849</v>
      </c>
      <c r="L88" s="30">
        <v>10463</v>
      </c>
      <c r="M88" s="12">
        <f t="shared" si="25"/>
        <v>416849</v>
      </c>
      <c r="N88" s="21">
        <v>208508</v>
      </c>
      <c r="O88" s="21">
        <v>73773</v>
      </c>
      <c r="P88" s="21">
        <f t="shared" si="24"/>
        <v>134735</v>
      </c>
      <c r="Q88" s="21">
        <f t="shared" si="20"/>
        <v>559584</v>
      </c>
    </row>
    <row r="89" spans="1:17" s="10" customFormat="1" ht="12.75" x14ac:dyDescent="0.2">
      <c r="A89" s="20" t="s">
        <v>87</v>
      </c>
      <c r="B89" s="21">
        <v>12928</v>
      </c>
      <c r="C89" s="21">
        <v>61785</v>
      </c>
      <c r="D89" s="21">
        <v>320813</v>
      </c>
      <c r="E89" s="21">
        <v>1367</v>
      </c>
      <c r="F89" s="21">
        <f t="shared" si="26"/>
        <v>394159</v>
      </c>
      <c r="G89" s="21">
        <v>47</v>
      </c>
      <c r="H89" s="27" t="s">
        <v>94</v>
      </c>
      <c r="I89" s="21">
        <v>16044</v>
      </c>
      <c r="J89" s="27" t="s">
        <v>94</v>
      </c>
      <c r="K89" s="12">
        <f t="shared" si="27"/>
        <v>410250</v>
      </c>
      <c r="L89" s="30">
        <v>10260</v>
      </c>
      <c r="M89" s="12">
        <f t="shared" si="25"/>
        <v>401357</v>
      </c>
      <c r="N89" s="21">
        <v>232191</v>
      </c>
      <c r="O89" s="21">
        <v>65152</v>
      </c>
      <c r="P89" s="21">
        <f t="shared" si="24"/>
        <v>167039</v>
      </c>
      <c r="Q89" s="21">
        <f t="shared" si="20"/>
        <v>577289</v>
      </c>
    </row>
    <row r="90" spans="1:17" s="10" customFormat="1" ht="12.75" x14ac:dyDescent="0.2">
      <c r="A90" s="20" t="s">
        <v>78</v>
      </c>
      <c r="B90" s="21">
        <v>12807</v>
      </c>
      <c r="C90" s="21">
        <v>61207</v>
      </c>
      <c r="D90" s="21">
        <v>331903</v>
      </c>
      <c r="E90" s="21">
        <v>993</v>
      </c>
      <c r="F90" s="21">
        <f t="shared" si="26"/>
        <v>404924</v>
      </c>
      <c r="G90" s="21">
        <v>45</v>
      </c>
      <c r="H90" s="27" t="s">
        <v>94</v>
      </c>
      <c r="I90" s="21">
        <v>15955</v>
      </c>
      <c r="J90" s="27" t="s">
        <v>94</v>
      </c>
      <c r="K90" s="12">
        <f t="shared" si="27"/>
        <v>420924</v>
      </c>
      <c r="L90" s="30">
        <v>10314</v>
      </c>
      <c r="M90" s="12">
        <f t="shared" si="25"/>
        <v>411603</v>
      </c>
      <c r="N90" s="21">
        <v>249235</v>
      </c>
      <c r="O90" s="21">
        <v>48838</v>
      </c>
      <c r="P90" s="21">
        <f t="shared" si="24"/>
        <v>200397</v>
      </c>
      <c r="Q90" s="21">
        <f t="shared" si="20"/>
        <v>621321</v>
      </c>
    </row>
    <row r="91" spans="1:17" s="10" customFormat="1" ht="12.75" x14ac:dyDescent="0.2">
      <c r="A91" s="20" t="s">
        <v>88</v>
      </c>
      <c r="B91" s="21">
        <v>12747</v>
      </c>
      <c r="C91" s="21">
        <v>60920</v>
      </c>
      <c r="D91" s="21">
        <v>340345</v>
      </c>
      <c r="E91" s="21">
        <v>1238</v>
      </c>
      <c r="F91" s="21">
        <f t="shared" si="26"/>
        <v>412774</v>
      </c>
      <c r="G91" s="21">
        <v>46</v>
      </c>
      <c r="H91" s="27" t="s">
        <v>94</v>
      </c>
      <c r="I91" s="21">
        <v>16080</v>
      </c>
      <c r="J91" s="27" t="s">
        <v>94</v>
      </c>
      <c r="K91" s="12">
        <f t="shared" si="27"/>
        <v>428900</v>
      </c>
      <c r="L91" s="30">
        <v>10366</v>
      </c>
      <c r="M91" s="12">
        <f t="shared" si="25"/>
        <v>419772</v>
      </c>
      <c r="N91" s="21">
        <v>231663</v>
      </c>
      <c r="O91" s="21">
        <v>45091</v>
      </c>
      <c r="P91" s="21">
        <f t="shared" si="24"/>
        <v>186572</v>
      </c>
      <c r="Q91" s="21">
        <f t="shared" si="20"/>
        <v>615472</v>
      </c>
    </row>
    <row r="92" spans="1:17" s="10" customFormat="1" ht="12.75" x14ac:dyDescent="0.2">
      <c r="A92" s="20" t="s">
        <v>89</v>
      </c>
      <c r="B92" s="21">
        <v>12436</v>
      </c>
      <c r="C92" s="21">
        <v>59404</v>
      </c>
      <c r="D92" s="21">
        <v>344868</v>
      </c>
      <c r="E92" s="21">
        <v>1655</v>
      </c>
      <c r="F92" s="21">
        <f t="shared" si="26"/>
        <v>415053</v>
      </c>
      <c r="G92" s="21">
        <v>44</v>
      </c>
      <c r="H92" s="27" t="s">
        <v>94</v>
      </c>
      <c r="I92" s="21">
        <v>16321</v>
      </c>
      <c r="J92" s="27" t="s">
        <v>94</v>
      </c>
      <c r="K92" s="12">
        <f t="shared" si="27"/>
        <v>431418</v>
      </c>
      <c r="L92" s="30">
        <v>10419</v>
      </c>
      <c r="M92" s="12">
        <f t="shared" si="25"/>
        <v>422654</v>
      </c>
      <c r="N92" s="21">
        <v>234305</v>
      </c>
      <c r="O92" s="21">
        <v>41559</v>
      </c>
      <c r="P92" s="21">
        <f t="shared" si="24"/>
        <v>192746</v>
      </c>
      <c r="Q92" s="21">
        <f t="shared" si="20"/>
        <v>624164</v>
      </c>
    </row>
    <row r="93" spans="1:17" s="10" customFormat="1" ht="12.75" x14ac:dyDescent="0.2">
      <c r="A93" s="20" t="s">
        <v>79</v>
      </c>
      <c r="B93" s="21">
        <v>12475</v>
      </c>
      <c r="C93" s="21">
        <v>59588</v>
      </c>
      <c r="D93" s="21">
        <v>364627</v>
      </c>
      <c r="E93" s="21">
        <v>1767</v>
      </c>
      <c r="F93" s="21">
        <f t="shared" si="26"/>
        <v>434923</v>
      </c>
      <c r="G93" s="21">
        <v>44</v>
      </c>
      <c r="H93" s="27" t="s">
        <v>94</v>
      </c>
      <c r="I93" s="21">
        <v>16578</v>
      </c>
      <c r="J93" s="27" t="s">
        <v>94</v>
      </c>
      <c r="K93" s="12">
        <f t="shared" si="27"/>
        <v>451545</v>
      </c>
      <c r="L93" s="30">
        <v>10474</v>
      </c>
      <c r="M93" s="12">
        <f t="shared" si="25"/>
        <v>442838</v>
      </c>
      <c r="N93" s="21">
        <v>240032</v>
      </c>
      <c r="O93" s="21">
        <v>43535</v>
      </c>
      <c r="P93" s="21">
        <f t="shared" si="24"/>
        <v>196497</v>
      </c>
      <c r="Q93" s="21">
        <f t="shared" si="20"/>
        <v>648042</v>
      </c>
    </row>
    <row r="94" spans="1:17" s="10" customFormat="1" ht="12.75" x14ac:dyDescent="0.2">
      <c r="A94" s="20" t="s">
        <v>90</v>
      </c>
      <c r="B94" s="21">
        <v>12809</v>
      </c>
      <c r="C94" s="21">
        <v>61184</v>
      </c>
      <c r="D94" s="21">
        <v>382481</v>
      </c>
      <c r="E94" s="21">
        <v>2863</v>
      </c>
      <c r="F94" s="21">
        <f t="shared" si="26"/>
        <v>453611</v>
      </c>
      <c r="G94" s="21">
        <v>46</v>
      </c>
      <c r="H94" s="27" t="s">
        <v>94</v>
      </c>
      <c r="I94" s="21">
        <v>16659</v>
      </c>
      <c r="J94" s="27" t="s">
        <v>94</v>
      </c>
      <c r="K94" s="15">
        <f t="shared" si="27"/>
        <v>470316</v>
      </c>
      <c r="L94" s="30">
        <v>10524</v>
      </c>
      <c r="M94" s="15">
        <f t="shared" si="25"/>
        <v>462655</v>
      </c>
      <c r="N94" s="21">
        <v>238294</v>
      </c>
      <c r="O94" s="21">
        <v>43464</v>
      </c>
      <c r="P94" s="21">
        <f t="shared" si="24"/>
        <v>194830</v>
      </c>
      <c r="Q94" s="21">
        <f t="shared" si="20"/>
        <v>665146</v>
      </c>
    </row>
    <row r="95" spans="1:17" s="10" customFormat="1" ht="12.75" x14ac:dyDescent="0.2">
      <c r="A95" s="20" t="s">
        <v>91</v>
      </c>
      <c r="B95" s="21">
        <v>12728</v>
      </c>
      <c r="C95" s="21">
        <v>60763</v>
      </c>
      <c r="D95" s="21">
        <v>356776</v>
      </c>
      <c r="E95" s="21">
        <v>1661</v>
      </c>
      <c r="F95" s="21">
        <f t="shared" si="26"/>
        <v>428606</v>
      </c>
      <c r="G95" s="21">
        <v>47</v>
      </c>
      <c r="H95" s="27" t="s">
        <v>94</v>
      </c>
      <c r="I95" s="21">
        <v>16933</v>
      </c>
      <c r="J95" s="27" t="s">
        <v>94</v>
      </c>
      <c r="K95" s="12">
        <f t="shared" si="27"/>
        <v>445586</v>
      </c>
      <c r="L95" s="30">
        <v>14539</v>
      </c>
      <c r="M95" s="12">
        <f t="shared" si="25"/>
        <v>432708</v>
      </c>
      <c r="N95" s="21">
        <v>227589</v>
      </c>
      <c r="O95" s="21">
        <v>35689</v>
      </c>
      <c r="P95" s="21">
        <f t="shared" si="24"/>
        <v>191900</v>
      </c>
      <c r="Q95" s="21">
        <f t="shared" si="20"/>
        <v>637486</v>
      </c>
    </row>
    <row r="96" spans="1:17" s="10" customFormat="1" ht="12.75" x14ac:dyDescent="0.2">
      <c r="A96" s="20" t="s">
        <v>80</v>
      </c>
      <c r="B96" s="21">
        <v>13127</v>
      </c>
      <c r="C96" s="21">
        <v>62667</v>
      </c>
      <c r="D96" s="21">
        <v>353799</v>
      </c>
      <c r="E96" s="21">
        <v>1733</v>
      </c>
      <c r="F96" s="21">
        <f t="shared" si="26"/>
        <v>427860</v>
      </c>
      <c r="G96" s="21">
        <v>46</v>
      </c>
      <c r="H96" s="27" t="s">
        <v>94</v>
      </c>
      <c r="I96" s="21">
        <v>16935</v>
      </c>
      <c r="J96" s="27" t="s">
        <v>94</v>
      </c>
      <c r="K96" s="12">
        <f t="shared" si="27"/>
        <v>444841</v>
      </c>
      <c r="L96" s="30">
        <v>14609</v>
      </c>
      <c r="M96" s="12">
        <f t="shared" si="25"/>
        <v>431965</v>
      </c>
      <c r="N96" s="21">
        <v>220227</v>
      </c>
      <c r="O96" s="21">
        <v>29091</v>
      </c>
      <c r="P96" s="21">
        <f t="shared" si="24"/>
        <v>191136</v>
      </c>
      <c r="Q96" s="21">
        <f t="shared" si="20"/>
        <v>635977</v>
      </c>
    </row>
    <row r="97" spans="1:17" s="10" customFormat="1" ht="12.75" x14ac:dyDescent="0.2">
      <c r="A97" s="20" t="s">
        <v>92</v>
      </c>
      <c r="B97" s="21">
        <v>13258</v>
      </c>
      <c r="C97" s="21">
        <v>63295</v>
      </c>
      <c r="D97" s="21">
        <v>348937</v>
      </c>
      <c r="E97" s="21">
        <v>2144</v>
      </c>
      <c r="F97" s="21">
        <f t="shared" si="26"/>
        <v>423346</v>
      </c>
      <c r="G97" s="21">
        <v>47</v>
      </c>
      <c r="H97" s="27" t="s">
        <v>94</v>
      </c>
      <c r="I97" s="21">
        <v>16893</v>
      </c>
      <c r="J97" s="27" t="s">
        <v>94</v>
      </c>
      <c r="K97" s="12">
        <f t="shared" si="27"/>
        <v>440286</v>
      </c>
      <c r="L97" s="30">
        <v>14682</v>
      </c>
      <c r="M97" s="12">
        <f t="shared" si="25"/>
        <v>427748</v>
      </c>
      <c r="N97" s="21">
        <v>210281</v>
      </c>
      <c r="O97" s="21">
        <v>49955</v>
      </c>
      <c r="P97" s="21">
        <f t="shared" si="24"/>
        <v>160326</v>
      </c>
      <c r="Q97" s="21">
        <f t="shared" si="20"/>
        <v>600612</v>
      </c>
    </row>
    <row r="98" spans="1:17" s="10" customFormat="1" ht="12.75" x14ac:dyDescent="0.2">
      <c r="A98" s="20" t="s">
        <v>93</v>
      </c>
      <c r="B98" s="21">
        <v>12870</v>
      </c>
      <c r="C98" s="21">
        <v>61408</v>
      </c>
      <c r="D98" s="21">
        <v>352647</v>
      </c>
      <c r="E98" s="21">
        <v>2294</v>
      </c>
      <c r="F98" s="21">
        <f t="shared" si="26"/>
        <v>424631</v>
      </c>
      <c r="G98" s="21">
        <v>40</v>
      </c>
      <c r="H98" s="27" t="s">
        <v>94</v>
      </c>
      <c r="I98" s="21">
        <v>16830</v>
      </c>
      <c r="J98" s="27" t="s">
        <v>94</v>
      </c>
      <c r="K98" s="12">
        <f t="shared" si="27"/>
        <v>441501</v>
      </c>
      <c r="L98" s="30">
        <v>14692</v>
      </c>
      <c r="M98" s="12">
        <f t="shared" si="25"/>
        <v>429103</v>
      </c>
      <c r="N98" s="21">
        <v>213567</v>
      </c>
      <c r="O98" s="21">
        <v>49811</v>
      </c>
      <c r="P98" s="21">
        <f t="shared" si="24"/>
        <v>163756</v>
      </c>
      <c r="Q98" s="21">
        <f>K98+P98</f>
        <v>605257</v>
      </c>
    </row>
    <row r="99" spans="1:17" s="10" customFormat="1" ht="12.75" x14ac:dyDescent="0.2">
      <c r="A99" s="20" t="s">
        <v>81</v>
      </c>
      <c r="B99" s="21">
        <v>12990</v>
      </c>
      <c r="C99" s="21">
        <v>61982</v>
      </c>
      <c r="D99" s="21">
        <v>357024</v>
      </c>
      <c r="E99" s="21">
        <v>3080</v>
      </c>
      <c r="F99" s="21">
        <f>B99+C99+D99-E99</f>
        <v>428916</v>
      </c>
      <c r="G99" s="21">
        <v>40</v>
      </c>
      <c r="H99" s="27" t="s">
        <v>94</v>
      </c>
      <c r="I99" s="21">
        <v>16637</v>
      </c>
      <c r="J99" s="27" t="s">
        <v>94</v>
      </c>
      <c r="K99" s="12">
        <f t="shared" si="27"/>
        <v>445593</v>
      </c>
      <c r="L99" s="30">
        <v>14765</v>
      </c>
      <c r="M99" s="12">
        <f t="shared" si="25"/>
        <v>433908</v>
      </c>
      <c r="N99" s="21">
        <v>226491</v>
      </c>
      <c r="O99" s="21">
        <v>44358</v>
      </c>
      <c r="P99" s="21">
        <f t="shared" si="24"/>
        <v>182133</v>
      </c>
      <c r="Q99" s="21">
        <f>K99+P99</f>
        <v>627726</v>
      </c>
    </row>
    <row r="100" spans="1:17" s="10" customFormat="1" ht="12.75" x14ac:dyDescent="0.2">
      <c r="A100" s="20" t="s">
        <v>67</v>
      </c>
      <c r="B100" s="21"/>
      <c r="C100" s="21"/>
      <c r="D100" s="21"/>
      <c r="E100" s="21"/>
      <c r="F100" s="21"/>
      <c r="G100" s="21"/>
      <c r="H100" s="27"/>
      <c r="I100" s="21"/>
      <c r="J100" s="27"/>
      <c r="K100" s="12"/>
      <c r="L100" s="30"/>
      <c r="M100" s="12"/>
      <c r="N100" s="21"/>
      <c r="O100" s="21"/>
      <c r="P100" s="21"/>
      <c r="Q100" s="21"/>
    </row>
    <row r="101" spans="1:17" s="10" customFormat="1" ht="12.75" x14ac:dyDescent="0.2">
      <c r="A101" s="20" t="s">
        <v>86</v>
      </c>
      <c r="B101" s="21">
        <v>13175</v>
      </c>
      <c r="C101" s="21">
        <v>62863</v>
      </c>
      <c r="D101" s="21">
        <v>348085</v>
      </c>
      <c r="E101" s="21">
        <v>2852</v>
      </c>
      <c r="F101" s="21">
        <f t="shared" ref="F101:F107" si="28">B101+C101+D101-E101</f>
        <v>421271</v>
      </c>
      <c r="G101" s="21">
        <v>39</v>
      </c>
      <c r="H101" s="27" t="s">
        <v>94</v>
      </c>
      <c r="I101" s="21">
        <v>16615</v>
      </c>
      <c r="J101" s="27" t="s">
        <v>94</v>
      </c>
      <c r="K101" s="12">
        <f t="shared" ref="K101:K137" si="29">F101+G101+H101+I101+J101</f>
        <v>437925</v>
      </c>
      <c r="L101" s="30">
        <v>14838.637720000001</v>
      </c>
      <c r="M101" s="12">
        <f>B101+C101+D101+G101+H101+I101+J101-L101</f>
        <v>425938.36228</v>
      </c>
      <c r="N101" s="21">
        <v>247993</v>
      </c>
      <c r="O101" s="21">
        <v>41981</v>
      </c>
      <c r="P101" s="21">
        <f t="shared" ref="P101:P107" si="30">N101-O101</f>
        <v>206012</v>
      </c>
      <c r="Q101" s="21">
        <f t="shared" ref="Q101:Q107" si="31">K101+P101</f>
        <v>643937</v>
      </c>
    </row>
    <row r="102" spans="1:17" s="10" customFormat="1" ht="12.75" x14ac:dyDescent="0.2">
      <c r="A102" s="20" t="s">
        <v>87</v>
      </c>
      <c r="B102" s="21">
        <v>13269</v>
      </c>
      <c r="C102" s="21">
        <v>63276</v>
      </c>
      <c r="D102" s="21">
        <v>311056</v>
      </c>
      <c r="E102" s="21">
        <v>1686</v>
      </c>
      <c r="F102" s="21">
        <f t="shared" si="28"/>
        <v>385915</v>
      </c>
      <c r="G102" s="21">
        <v>40</v>
      </c>
      <c r="H102" s="27" t="s">
        <v>94</v>
      </c>
      <c r="I102" s="21">
        <v>16595</v>
      </c>
      <c r="J102" s="27" t="s">
        <v>94</v>
      </c>
      <c r="K102" s="12">
        <f t="shared" si="29"/>
        <v>402550</v>
      </c>
      <c r="L102" s="30">
        <v>14530.55824</v>
      </c>
      <c r="M102" s="12">
        <f>B102+C102+D102+G102+H102+I102+J102-L102</f>
        <v>389705.44176000002</v>
      </c>
      <c r="N102" s="21">
        <v>259807</v>
      </c>
      <c r="O102" s="21">
        <v>35466</v>
      </c>
      <c r="P102" s="21">
        <f t="shared" si="30"/>
        <v>224341</v>
      </c>
      <c r="Q102" s="21">
        <f t="shared" si="31"/>
        <v>626891</v>
      </c>
    </row>
    <row r="103" spans="1:17" s="10" customFormat="1" ht="12.75" x14ac:dyDescent="0.2">
      <c r="A103" s="20" t="s">
        <v>78</v>
      </c>
      <c r="B103" s="21">
        <v>13374</v>
      </c>
      <c r="C103" s="21">
        <v>63777</v>
      </c>
      <c r="D103" s="21">
        <v>337154</v>
      </c>
      <c r="E103" s="21">
        <v>1635</v>
      </c>
      <c r="F103" s="21">
        <f t="shared" si="28"/>
        <v>412670</v>
      </c>
      <c r="G103" s="21">
        <v>40</v>
      </c>
      <c r="H103" s="27" t="s">
        <v>94</v>
      </c>
      <c r="I103" s="21">
        <v>16580</v>
      </c>
      <c r="J103" s="27" t="s">
        <v>94</v>
      </c>
      <c r="K103" s="12">
        <f t="shared" si="29"/>
        <v>429290</v>
      </c>
      <c r="L103" s="30">
        <v>14599.304099999999</v>
      </c>
      <c r="M103" s="12">
        <f>B103+C103+D103+G103+H103+I103+J103-L103</f>
        <v>416325.69589999999</v>
      </c>
      <c r="N103" s="11">
        <v>293306</v>
      </c>
      <c r="O103" s="11">
        <v>37288</v>
      </c>
      <c r="P103" s="21">
        <f t="shared" si="30"/>
        <v>256018</v>
      </c>
      <c r="Q103" s="21">
        <f t="shared" si="31"/>
        <v>685308</v>
      </c>
    </row>
    <row r="104" spans="1:17" s="10" customFormat="1" ht="12.75" x14ac:dyDescent="0.2">
      <c r="A104" s="20" t="s">
        <v>88</v>
      </c>
      <c r="B104" s="21">
        <v>13673</v>
      </c>
      <c r="C104" s="21">
        <v>65203</v>
      </c>
      <c r="D104" s="21">
        <v>347093</v>
      </c>
      <c r="E104" s="21">
        <v>1792</v>
      </c>
      <c r="F104" s="21">
        <f t="shared" si="28"/>
        <v>424177</v>
      </c>
      <c r="G104" s="21">
        <v>41</v>
      </c>
      <c r="H104" s="27" t="s">
        <v>94</v>
      </c>
      <c r="I104" s="21">
        <v>16709</v>
      </c>
      <c r="J104" s="27" t="s">
        <v>94</v>
      </c>
      <c r="K104" s="12">
        <f t="shared" si="29"/>
        <v>440927</v>
      </c>
      <c r="L104" s="30">
        <v>14684.285540000001</v>
      </c>
      <c r="M104" s="12">
        <f t="shared" ref="M104:M117" si="32">B104+C104+D104+G104+H104+I104+J104-L104</f>
        <v>428034.71445999999</v>
      </c>
      <c r="N104" s="21">
        <v>299234</v>
      </c>
      <c r="O104" s="21">
        <v>30548</v>
      </c>
      <c r="P104" s="21">
        <f t="shared" si="30"/>
        <v>268686</v>
      </c>
      <c r="Q104" s="21">
        <f t="shared" si="31"/>
        <v>709613</v>
      </c>
    </row>
    <row r="105" spans="1:17" s="10" customFormat="1" ht="12.75" x14ac:dyDescent="0.2">
      <c r="A105" s="20" t="s">
        <v>89</v>
      </c>
      <c r="B105" s="21">
        <v>13503</v>
      </c>
      <c r="C105" s="21">
        <v>64357</v>
      </c>
      <c r="D105" s="21">
        <v>377427</v>
      </c>
      <c r="E105" s="21">
        <v>3740</v>
      </c>
      <c r="F105" s="21">
        <f t="shared" si="28"/>
        <v>451547</v>
      </c>
      <c r="G105" s="21">
        <v>40</v>
      </c>
      <c r="H105" s="27" t="s">
        <v>94</v>
      </c>
      <c r="I105" s="21">
        <v>16882</v>
      </c>
      <c r="J105" s="27" t="s">
        <v>94</v>
      </c>
      <c r="K105" s="12">
        <f t="shared" si="29"/>
        <v>468469</v>
      </c>
      <c r="L105" s="30">
        <v>14412.559859999999</v>
      </c>
      <c r="M105" s="12">
        <f t="shared" si="32"/>
        <v>457796.44014000002</v>
      </c>
      <c r="N105" s="21">
        <v>302914</v>
      </c>
      <c r="O105" s="21">
        <v>33956</v>
      </c>
      <c r="P105" s="21">
        <f t="shared" si="30"/>
        <v>268958</v>
      </c>
      <c r="Q105" s="21">
        <f t="shared" si="31"/>
        <v>737427</v>
      </c>
    </row>
    <row r="106" spans="1:17" s="10" customFormat="1" ht="12.75" x14ac:dyDescent="0.2">
      <c r="A106" s="20" t="s">
        <v>79</v>
      </c>
      <c r="B106" s="21">
        <v>13500</v>
      </c>
      <c r="C106" s="21">
        <v>64344</v>
      </c>
      <c r="D106" s="21">
        <v>370235</v>
      </c>
      <c r="E106" s="21">
        <v>1636</v>
      </c>
      <c r="F106" s="21">
        <f t="shared" si="28"/>
        <v>446443</v>
      </c>
      <c r="G106" s="21">
        <v>40</v>
      </c>
      <c r="H106" s="27" t="s">
        <v>94</v>
      </c>
      <c r="I106" s="21">
        <v>16858</v>
      </c>
      <c r="J106" s="27" t="s">
        <v>94</v>
      </c>
      <c r="K106" s="12">
        <f t="shared" si="29"/>
        <v>463341</v>
      </c>
      <c r="L106" s="30">
        <v>14500.11794</v>
      </c>
      <c r="M106" s="12">
        <f t="shared" si="32"/>
        <v>450476.88205999997</v>
      </c>
      <c r="N106" s="11">
        <v>300160</v>
      </c>
      <c r="O106" s="11">
        <v>31550</v>
      </c>
      <c r="P106" s="21">
        <f t="shared" si="30"/>
        <v>268610</v>
      </c>
      <c r="Q106" s="21">
        <f t="shared" si="31"/>
        <v>731951</v>
      </c>
    </row>
    <row r="107" spans="1:17" s="10" customFormat="1" ht="12.75" x14ac:dyDescent="0.2">
      <c r="A107" s="20" t="s">
        <v>90</v>
      </c>
      <c r="B107" s="21">
        <v>13488</v>
      </c>
      <c r="C107" s="21">
        <v>64286</v>
      </c>
      <c r="D107" s="21">
        <v>403543</v>
      </c>
      <c r="E107" s="21">
        <v>2163</v>
      </c>
      <c r="F107" s="21">
        <f t="shared" si="28"/>
        <v>479154</v>
      </c>
      <c r="G107" s="21">
        <v>40</v>
      </c>
      <c r="H107" s="27" t="s">
        <v>94</v>
      </c>
      <c r="I107" s="21">
        <v>17050</v>
      </c>
      <c r="J107" s="27" t="s">
        <v>94</v>
      </c>
      <c r="K107" s="12">
        <f t="shared" si="29"/>
        <v>496244</v>
      </c>
      <c r="L107" s="30">
        <v>14596.48266</v>
      </c>
      <c r="M107" s="12">
        <f t="shared" si="32"/>
        <v>483810.51734000002</v>
      </c>
      <c r="N107" s="21">
        <v>316657</v>
      </c>
      <c r="O107" s="21">
        <v>31526</v>
      </c>
      <c r="P107" s="21">
        <f t="shared" si="30"/>
        <v>285131</v>
      </c>
      <c r="Q107" s="21">
        <f t="shared" si="31"/>
        <v>781375</v>
      </c>
    </row>
    <row r="108" spans="1:17" s="10" customFormat="1" ht="12.75" x14ac:dyDescent="0.2">
      <c r="A108" s="20" t="s">
        <v>91</v>
      </c>
      <c r="B108" s="21">
        <v>13575</v>
      </c>
      <c r="C108" s="21">
        <v>64667</v>
      </c>
      <c r="D108" s="21">
        <v>375096</v>
      </c>
      <c r="E108" s="21">
        <v>3491</v>
      </c>
      <c r="F108" s="21">
        <f>B108+C108+D108-E108</f>
        <v>449847</v>
      </c>
      <c r="G108" s="21">
        <v>40</v>
      </c>
      <c r="H108" s="27" t="s">
        <v>94</v>
      </c>
      <c r="I108" s="21">
        <v>17358</v>
      </c>
      <c r="J108" s="27" t="s">
        <v>94</v>
      </c>
      <c r="K108" s="12">
        <f t="shared" si="29"/>
        <v>467245</v>
      </c>
      <c r="L108" s="30">
        <v>13997.7163</v>
      </c>
      <c r="M108" s="12">
        <f t="shared" si="32"/>
        <v>456738.28370000003</v>
      </c>
      <c r="N108" s="21">
        <v>304015</v>
      </c>
      <c r="O108" s="21">
        <v>33963</v>
      </c>
      <c r="P108" s="21">
        <f t="shared" ref="P108" si="33">N108-O108</f>
        <v>270052</v>
      </c>
      <c r="Q108" s="21">
        <f t="shared" ref="Q108" si="34">K108+P108</f>
        <v>737297</v>
      </c>
    </row>
    <row r="109" spans="1:17" s="10" customFormat="1" ht="12.75" x14ac:dyDescent="0.2">
      <c r="A109" s="20" t="s">
        <v>80</v>
      </c>
      <c r="B109" s="21">
        <v>13173</v>
      </c>
      <c r="C109" s="21">
        <v>62749</v>
      </c>
      <c r="D109" s="21">
        <v>394651</v>
      </c>
      <c r="E109" s="21">
        <v>1968</v>
      </c>
      <c r="F109" s="21">
        <f>B109+C109+D109-E109</f>
        <v>468605</v>
      </c>
      <c r="G109" s="21">
        <v>39</v>
      </c>
      <c r="H109" s="27" t="s">
        <v>94</v>
      </c>
      <c r="I109" s="21">
        <v>17552</v>
      </c>
      <c r="J109" s="27" t="s">
        <v>94</v>
      </c>
      <c r="K109" s="12">
        <f t="shared" si="29"/>
        <v>486196</v>
      </c>
      <c r="L109" s="30">
        <v>14067.334580000001</v>
      </c>
      <c r="M109" s="12">
        <f t="shared" si="32"/>
        <v>474096.66541999998</v>
      </c>
      <c r="N109" s="21">
        <v>269123</v>
      </c>
      <c r="O109" s="21">
        <v>33008</v>
      </c>
      <c r="P109" s="21">
        <f t="shared" ref="P109:P111" si="35">N109-O109</f>
        <v>236115</v>
      </c>
      <c r="Q109" s="21">
        <f t="shared" ref="Q109:Q111" si="36">K109+P109</f>
        <v>722311</v>
      </c>
    </row>
    <row r="110" spans="1:17" s="10" customFormat="1" ht="12.75" x14ac:dyDescent="0.2">
      <c r="A110" s="20" t="s">
        <v>92</v>
      </c>
      <c r="B110" s="21">
        <v>13377</v>
      </c>
      <c r="C110" s="21">
        <v>63725</v>
      </c>
      <c r="D110" s="21">
        <v>401291</v>
      </c>
      <c r="E110" s="21">
        <v>2640</v>
      </c>
      <c r="F110" s="21">
        <f>B110+C110+D110-E110</f>
        <v>475753</v>
      </c>
      <c r="G110" s="21">
        <v>34</v>
      </c>
      <c r="H110" s="27" t="s">
        <v>94</v>
      </c>
      <c r="I110" s="21">
        <v>17468</v>
      </c>
      <c r="J110" s="27" t="s">
        <v>94</v>
      </c>
      <c r="K110" s="15">
        <f t="shared" si="29"/>
        <v>493255</v>
      </c>
      <c r="L110" s="30">
        <v>14182.572120000001</v>
      </c>
      <c r="M110" s="15">
        <f t="shared" si="32"/>
        <v>481712.42787999997</v>
      </c>
      <c r="N110" s="21">
        <v>258973</v>
      </c>
      <c r="O110" s="21">
        <v>31449</v>
      </c>
      <c r="P110" s="21">
        <f t="shared" si="35"/>
        <v>227524</v>
      </c>
      <c r="Q110" s="21">
        <f t="shared" si="36"/>
        <v>720779</v>
      </c>
    </row>
    <row r="111" spans="1:17" s="10" customFormat="1" ht="12.75" x14ac:dyDescent="0.2">
      <c r="A111" s="20" t="s">
        <v>93</v>
      </c>
      <c r="B111" s="21">
        <v>13088</v>
      </c>
      <c r="C111" s="21">
        <v>62310</v>
      </c>
      <c r="D111" s="21">
        <v>420947</v>
      </c>
      <c r="E111" s="21">
        <v>1784</v>
      </c>
      <c r="F111" s="21">
        <f>B111+C111+D111-E111</f>
        <v>494561</v>
      </c>
      <c r="G111" s="21">
        <v>34</v>
      </c>
      <c r="H111" s="27" t="s">
        <v>94</v>
      </c>
      <c r="I111" s="21">
        <v>17418</v>
      </c>
      <c r="J111" s="27" t="s">
        <v>94</v>
      </c>
      <c r="K111" s="12">
        <f t="shared" si="29"/>
        <v>512013</v>
      </c>
      <c r="L111" s="30">
        <v>13906.74094</v>
      </c>
      <c r="M111" s="12">
        <f t="shared" si="32"/>
        <v>499890.25906000001</v>
      </c>
      <c r="N111" s="21">
        <v>255752</v>
      </c>
      <c r="O111" s="21">
        <v>33135</v>
      </c>
      <c r="P111" s="21">
        <f t="shared" si="35"/>
        <v>222617</v>
      </c>
      <c r="Q111" s="21">
        <f t="shared" si="36"/>
        <v>734630</v>
      </c>
    </row>
    <row r="112" spans="1:17" s="10" customFormat="1" ht="12.75" x14ac:dyDescent="0.2">
      <c r="A112" s="20" t="s">
        <v>81</v>
      </c>
      <c r="B112" s="21">
        <v>12950</v>
      </c>
      <c r="C112" s="21">
        <v>61656</v>
      </c>
      <c r="D112" s="21">
        <v>408844</v>
      </c>
      <c r="E112" s="21">
        <v>1699</v>
      </c>
      <c r="F112" s="21">
        <f>B112+C112+D112-E112</f>
        <v>481751</v>
      </c>
      <c r="G112" s="21">
        <v>32</v>
      </c>
      <c r="H112" s="27" t="s">
        <v>94</v>
      </c>
      <c r="I112" s="21">
        <v>17582</v>
      </c>
      <c r="J112" s="27" t="s">
        <v>94</v>
      </c>
      <c r="K112" s="12">
        <f t="shared" si="29"/>
        <v>499365</v>
      </c>
      <c r="L112" s="30">
        <v>14010.827359999999</v>
      </c>
      <c r="M112" s="12">
        <f t="shared" si="32"/>
        <v>487053.17264</v>
      </c>
      <c r="N112" s="21">
        <v>274449</v>
      </c>
      <c r="O112" s="21">
        <v>20493</v>
      </c>
      <c r="P112" s="21">
        <f t="shared" ref="P112" si="37">N112-O112</f>
        <v>253956</v>
      </c>
      <c r="Q112" s="21">
        <f t="shared" ref="Q112" si="38">K112+P112</f>
        <v>753321</v>
      </c>
    </row>
    <row r="113" spans="1:17" s="10" customFormat="1" ht="12.75" x14ac:dyDescent="0.2">
      <c r="A113" s="22" t="s">
        <v>73</v>
      </c>
      <c r="B113" s="21"/>
      <c r="C113" s="21"/>
      <c r="D113" s="21"/>
      <c r="E113" s="21"/>
      <c r="F113" s="21"/>
      <c r="G113" s="23"/>
      <c r="H113" s="14"/>
      <c r="I113" s="11"/>
      <c r="J113" s="29"/>
      <c r="K113" s="12"/>
      <c r="L113" s="30"/>
      <c r="M113" s="12"/>
      <c r="N113" s="11"/>
      <c r="O113" s="11"/>
      <c r="P113" s="21"/>
      <c r="Q113" s="21"/>
    </row>
    <row r="114" spans="1:17" s="10" customFormat="1" ht="12.75" x14ac:dyDescent="0.2">
      <c r="A114" s="20" t="s">
        <v>86</v>
      </c>
      <c r="B114" s="21">
        <v>13084</v>
      </c>
      <c r="C114" s="21">
        <v>62291</v>
      </c>
      <c r="D114" s="21">
        <v>416386</v>
      </c>
      <c r="E114" s="21">
        <v>3201</v>
      </c>
      <c r="F114" s="21">
        <f t="shared" ref="F114:F136" si="39">B114+C114+D114-E114</f>
        <v>488560</v>
      </c>
      <c r="G114" s="21">
        <v>30</v>
      </c>
      <c r="H114" s="27" t="s">
        <v>94</v>
      </c>
      <c r="I114" s="21">
        <v>17653</v>
      </c>
      <c r="J114" s="27" t="s">
        <v>94</v>
      </c>
      <c r="K114" s="12">
        <f t="shared" si="29"/>
        <v>506243</v>
      </c>
      <c r="L114" s="30">
        <v>14114.913780000001</v>
      </c>
      <c r="M114" s="12">
        <f t="shared" si="32"/>
        <v>495329.08622</v>
      </c>
      <c r="N114" s="21">
        <v>280778</v>
      </c>
      <c r="O114" s="21">
        <v>16460</v>
      </c>
      <c r="P114" s="21">
        <f t="shared" ref="P114:P115" si="40">N114-O114</f>
        <v>264318</v>
      </c>
      <c r="Q114" s="21">
        <f>K114+P114</f>
        <v>770561</v>
      </c>
    </row>
    <row r="115" spans="1:17" s="10" customFormat="1" ht="12.75" x14ac:dyDescent="0.2">
      <c r="A115" s="20" t="s">
        <v>87</v>
      </c>
      <c r="B115" s="21">
        <v>13125</v>
      </c>
      <c r="C115" s="21">
        <v>62454</v>
      </c>
      <c r="D115" s="21">
        <v>388776</v>
      </c>
      <c r="E115" s="21">
        <v>1454</v>
      </c>
      <c r="F115" s="21">
        <f t="shared" si="39"/>
        <v>462901</v>
      </c>
      <c r="G115" s="21">
        <v>31</v>
      </c>
      <c r="H115" s="27" t="s">
        <v>94</v>
      </c>
      <c r="I115" s="21">
        <v>17627</v>
      </c>
      <c r="J115" s="27" t="s">
        <v>94</v>
      </c>
      <c r="K115" s="12">
        <f t="shared" si="29"/>
        <v>480559</v>
      </c>
      <c r="L115" s="30">
        <v>13470.243899999999</v>
      </c>
      <c r="M115" s="12">
        <f t="shared" si="32"/>
        <v>468542.7561</v>
      </c>
      <c r="N115" s="21">
        <v>307585</v>
      </c>
      <c r="O115" s="21">
        <v>10549</v>
      </c>
      <c r="P115" s="21">
        <f t="shared" si="40"/>
        <v>297036</v>
      </c>
      <c r="Q115" s="21">
        <f t="shared" ref="Q115" si="41">K115+P115</f>
        <v>777595</v>
      </c>
    </row>
    <row r="116" spans="1:17" s="10" customFormat="1" ht="12.75" x14ac:dyDescent="0.2">
      <c r="A116" s="20" t="s">
        <v>78</v>
      </c>
      <c r="B116" s="21">
        <v>13067</v>
      </c>
      <c r="C116" s="21">
        <v>62175</v>
      </c>
      <c r="D116" s="21">
        <v>410658</v>
      </c>
      <c r="E116" s="21">
        <v>1313</v>
      </c>
      <c r="F116" s="21">
        <f t="shared" si="39"/>
        <v>484587</v>
      </c>
      <c r="G116" s="21">
        <v>31</v>
      </c>
      <c r="H116" s="27" t="s">
        <v>94</v>
      </c>
      <c r="I116" s="21">
        <v>17558</v>
      </c>
      <c r="J116" s="27" t="s">
        <v>94</v>
      </c>
      <c r="K116" s="12">
        <f t="shared" si="29"/>
        <v>502176</v>
      </c>
      <c r="L116" s="30">
        <v>13518.647139999999</v>
      </c>
      <c r="M116" s="12">
        <f t="shared" si="32"/>
        <v>489970.35285999998</v>
      </c>
      <c r="N116" s="21">
        <v>328928</v>
      </c>
      <c r="O116" s="21">
        <v>8257</v>
      </c>
      <c r="P116" s="21">
        <f t="shared" ref="P116:P117" si="42">N116-O116</f>
        <v>320671</v>
      </c>
      <c r="Q116" s="21">
        <f t="shared" ref="Q116:Q117" si="43">K116+P116</f>
        <v>822847</v>
      </c>
    </row>
    <row r="117" spans="1:17" s="10" customFormat="1" ht="12.75" x14ac:dyDescent="0.2">
      <c r="A117" s="20" t="s">
        <v>88</v>
      </c>
      <c r="B117" s="21">
        <v>13079</v>
      </c>
      <c r="C117" s="21">
        <v>62234</v>
      </c>
      <c r="D117" s="21">
        <v>413334</v>
      </c>
      <c r="E117" s="21">
        <v>1536</v>
      </c>
      <c r="F117" s="21">
        <f t="shared" si="39"/>
        <v>487111</v>
      </c>
      <c r="G117" s="21">
        <v>31</v>
      </c>
      <c r="H117" s="27" t="s">
        <v>94</v>
      </c>
      <c r="I117" s="21">
        <v>17651</v>
      </c>
      <c r="J117" s="27" t="s">
        <v>94</v>
      </c>
      <c r="K117" s="12">
        <f t="shared" si="29"/>
        <v>504793</v>
      </c>
      <c r="L117" s="30">
        <v>13606.84656</v>
      </c>
      <c r="M117" s="12">
        <f t="shared" si="32"/>
        <v>492722.15344000002</v>
      </c>
      <c r="N117" s="21">
        <v>355789</v>
      </c>
      <c r="O117" s="21">
        <v>10834</v>
      </c>
      <c r="P117" s="21">
        <f t="shared" si="42"/>
        <v>344955</v>
      </c>
      <c r="Q117" s="21">
        <f t="shared" si="43"/>
        <v>849748</v>
      </c>
    </row>
    <row r="118" spans="1:17" s="10" customFormat="1" ht="12.75" x14ac:dyDescent="0.2">
      <c r="A118" s="20" t="s">
        <v>89</v>
      </c>
      <c r="B118" s="21">
        <v>12739</v>
      </c>
      <c r="C118" s="21">
        <v>60582</v>
      </c>
      <c r="D118" s="21">
        <v>444867</v>
      </c>
      <c r="E118" s="21">
        <v>2780</v>
      </c>
      <c r="F118" s="21">
        <f t="shared" si="39"/>
        <v>515408</v>
      </c>
      <c r="G118" s="21">
        <v>31</v>
      </c>
      <c r="H118" s="27" t="s">
        <v>94</v>
      </c>
      <c r="I118" s="21">
        <v>17852</v>
      </c>
      <c r="J118" s="27" t="s">
        <v>94</v>
      </c>
      <c r="K118" s="12">
        <f t="shared" si="29"/>
        <v>533291</v>
      </c>
      <c r="L118" s="30">
        <v>13355.888419999999</v>
      </c>
      <c r="M118" s="12">
        <f t="shared" ref="M118:M136" si="44">B118+C118+D118+G118+H118+I118+J118-L118</f>
        <v>522715.11158000003</v>
      </c>
      <c r="N118" s="21">
        <v>349399</v>
      </c>
      <c r="O118" s="21">
        <v>13203</v>
      </c>
      <c r="P118" s="21">
        <f t="shared" ref="P118:P123" si="45">N118-O118</f>
        <v>336196</v>
      </c>
      <c r="Q118" s="21">
        <f t="shared" ref="Q118:Q123" si="46">K118+P118</f>
        <v>869487</v>
      </c>
    </row>
    <row r="119" spans="1:17" s="10" customFormat="1" ht="12.75" x14ac:dyDescent="0.2">
      <c r="A119" s="20" t="s">
        <v>79</v>
      </c>
      <c r="B119" s="21">
        <v>12801</v>
      </c>
      <c r="C119" s="21">
        <v>60874</v>
      </c>
      <c r="D119" s="21">
        <v>450903</v>
      </c>
      <c r="E119" s="21">
        <v>2139</v>
      </c>
      <c r="F119" s="21">
        <f t="shared" si="39"/>
        <v>522439</v>
      </c>
      <c r="G119" s="21">
        <v>31</v>
      </c>
      <c r="H119" s="27" t="s">
        <v>94</v>
      </c>
      <c r="I119" s="21">
        <v>17827</v>
      </c>
      <c r="J119" s="27" t="s">
        <v>94</v>
      </c>
      <c r="K119" s="12">
        <f t="shared" si="29"/>
        <v>540297</v>
      </c>
      <c r="L119" s="30">
        <v>13442.507439999999</v>
      </c>
      <c r="M119" s="12">
        <f t="shared" si="44"/>
        <v>528993.49256000004</v>
      </c>
      <c r="N119" s="21">
        <v>323025</v>
      </c>
      <c r="O119" s="21">
        <v>7378</v>
      </c>
      <c r="P119" s="21">
        <f t="shared" si="45"/>
        <v>315647</v>
      </c>
      <c r="Q119" s="21">
        <f t="shared" si="46"/>
        <v>855944</v>
      </c>
    </row>
    <row r="120" spans="1:17" s="10" customFormat="1" ht="12.75" x14ac:dyDescent="0.2">
      <c r="A120" s="20" t="s">
        <v>90</v>
      </c>
      <c r="B120" s="21">
        <v>12723</v>
      </c>
      <c r="C120" s="21">
        <v>60504</v>
      </c>
      <c r="D120" s="21">
        <v>474538</v>
      </c>
      <c r="E120" s="21">
        <v>1843</v>
      </c>
      <c r="F120" s="21">
        <f t="shared" si="39"/>
        <v>545922</v>
      </c>
      <c r="G120" s="21">
        <v>31</v>
      </c>
      <c r="H120" s="27" t="s">
        <v>94</v>
      </c>
      <c r="I120" s="21">
        <v>17944</v>
      </c>
      <c r="J120" s="27" t="s">
        <v>94</v>
      </c>
      <c r="K120" s="15">
        <f t="shared" si="29"/>
        <v>563897</v>
      </c>
      <c r="L120" s="30">
        <v>13325.22084</v>
      </c>
      <c r="M120" s="15">
        <f t="shared" si="44"/>
        <v>552414.77916000003</v>
      </c>
      <c r="N120" s="21">
        <v>337690</v>
      </c>
      <c r="O120" s="21">
        <v>12933</v>
      </c>
      <c r="P120" s="21">
        <f t="shared" si="45"/>
        <v>324757</v>
      </c>
      <c r="Q120" s="21">
        <f t="shared" si="46"/>
        <v>888654</v>
      </c>
    </row>
    <row r="121" spans="1:17" s="10" customFormat="1" ht="12.75" x14ac:dyDescent="0.2">
      <c r="A121" s="20" t="s">
        <v>91</v>
      </c>
      <c r="B121" s="21">
        <v>12838</v>
      </c>
      <c r="C121" s="21">
        <v>61022</v>
      </c>
      <c r="D121" s="21">
        <v>492513</v>
      </c>
      <c r="E121" s="21">
        <v>1675</v>
      </c>
      <c r="F121" s="21">
        <f t="shared" si="39"/>
        <v>564698</v>
      </c>
      <c r="G121" s="21">
        <v>31</v>
      </c>
      <c r="H121" s="27" t="s">
        <v>94</v>
      </c>
      <c r="I121" s="21">
        <v>17972</v>
      </c>
      <c r="J121" s="27" t="s">
        <v>94</v>
      </c>
      <c r="K121" s="12">
        <f t="shared" si="29"/>
        <v>582701</v>
      </c>
      <c r="L121" s="30">
        <v>12774.17432</v>
      </c>
      <c r="M121" s="12">
        <f t="shared" si="44"/>
        <v>571601.82568000001</v>
      </c>
      <c r="N121" s="21">
        <v>293826</v>
      </c>
      <c r="O121" s="21">
        <v>12992</v>
      </c>
      <c r="P121" s="21">
        <f t="shared" si="45"/>
        <v>280834</v>
      </c>
      <c r="Q121" s="21">
        <f t="shared" si="46"/>
        <v>863535</v>
      </c>
    </row>
    <row r="122" spans="1:17" s="10" customFormat="1" ht="12.75" x14ac:dyDescent="0.2">
      <c r="A122" s="20" t="s">
        <v>80</v>
      </c>
      <c r="B122" s="21">
        <v>13009</v>
      </c>
      <c r="C122" s="21">
        <v>61831</v>
      </c>
      <c r="D122" s="21">
        <v>468620</v>
      </c>
      <c r="E122" s="21">
        <v>1638</v>
      </c>
      <c r="F122" s="21">
        <f t="shared" si="39"/>
        <v>541822</v>
      </c>
      <c r="G122" s="21">
        <v>32</v>
      </c>
      <c r="H122" s="27" t="s">
        <v>94</v>
      </c>
      <c r="I122" s="21">
        <v>17954</v>
      </c>
      <c r="J122" s="27" t="s">
        <v>94</v>
      </c>
      <c r="K122" s="12">
        <f t="shared" si="29"/>
        <v>559808</v>
      </c>
      <c r="L122" s="30">
        <v>12820.56208</v>
      </c>
      <c r="M122" s="12">
        <f t="shared" si="44"/>
        <v>548625.43792000005</v>
      </c>
      <c r="N122" s="21">
        <v>264917</v>
      </c>
      <c r="O122" s="21">
        <v>8262</v>
      </c>
      <c r="P122" s="21">
        <f t="shared" si="45"/>
        <v>256655</v>
      </c>
      <c r="Q122" s="21">
        <f t="shared" si="46"/>
        <v>816463</v>
      </c>
    </row>
    <row r="123" spans="1:17" s="10" customFormat="1" ht="12.75" x14ac:dyDescent="0.2">
      <c r="A123" s="20" t="s">
        <v>92</v>
      </c>
      <c r="B123" s="21">
        <v>12995</v>
      </c>
      <c r="C123" s="21">
        <v>61766</v>
      </c>
      <c r="D123" s="21">
        <v>495439</v>
      </c>
      <c r="E123" s="21">
        <v>1911</v>
      </c>
      <c r="F123" s="21">
        <f t="shared" si="39"/>
        <v>568289</v>
      </c>
      <c r="G123" s="21">
        <v>32</v>
      </c>
      <c r="H123" s="27" t="s">
        <v>94</v>
      </c>
      <c r="I123" s="21">
        <v>17930</v>
      </c>
      <c r="J123" s="27" t="s">
        <v>94</v>
      </c>
      <c r="K123" s="12">
        <f t="shared" si="29"/>
        <v>586251</v>
      </c>
      <c r="L123" s="30">
        <v>12912.41044</v>
      </c>
      <c r="M123" s="12">
        <f t="shared" si="44"/>
        <v>575249.58955999999</v>
      </c>
      <c r="N123" s="21">
        <v>258187</v>
      </c>
      <c r="O123" s="21">
        <v>5768</v>
      </c>
      <c r="P123" s="21">
        <f t="shared" si="45"/>
        <v>252419</v>
      </c>
      <c r="Q123" s="21">
        <f t="shared" si="46"/>
        <v>838670</v>
      </c>
    </row>
    <row r="124" spans="1:17" s="10" customFormat="1" ht="12.75" x14ac:dyDescent="0.2">
      <c r="A124" s="20" t="s">
        <v>93</v>
      </c>
      <c r="B124" s="21">
        <v>12946</v>
      </c>
      <c r="C124" s="21">
        <v>61508</v>
      </c>
      <c r="D124" s="21">
        <v>496129</v>
      </c>
      <c r="E124" s="21">
        <v>2168</v>
      </c>
      <c r="F124" s="21">
        <f t="shared" si="39"/>
        <v>568415</v>
      </c>
      <c r="G124" s="21">
        <v>31</v>
      </c>
      <c r="H124" s="27" t="s">
        <v>94</v>
      </c>
      <c r="I124" s="21">
        <v>17995</v>
      </c>
      <c r="J124" s="27" t="s">
        <v>94</v>
      </c>
      <c r="K124" s="12">
        <f t="shared" si="29"/>
        <v>586441</v>
      </c>
      <c r="L124" s="30">
        <v>12666.15288</v>
      </c>
      <c r="M124" s="12">
        <f t="shared" si="44"/>
        <v>575942.84712000005</v>
      </c>
      <c r="N124" s="21">
        <v>292087</v>
      </c>
      <c r="O124" s="21">
        <v>6599</v>
      </c>
      <c r="P124" s="21">
        <f t="shared" ref="P124" si="47">N124-O124</f>
        <v>285488</v>
      </c>
      <c r="Q124" s="21">
        <f t="shared" ref="Q124" si="48">K124+P124</f>
        <v>871929</v>
      </c>
    </row>
    <row r="125" spans="1:17" s="10" customFormat="1" ht="12.75" x14ac:dyDescent="0.2">
      <c r="A125" s="20" t="s">
        <v>81</v>
      </c>
      <c r="B125" s="21">
        <v>12964</v>
      </c>
      <c r="C125" s="21">
        <v>61593</v>
      </c>
      <c r="D125" s="21">
        <v>503245</v>
      </c>
      <c r="E125" s="21">
        <v>2125</v>
      </c>
      <c r="F125" s="21">
        <f t="shared" si="39"/>
        <v>575677</v>
      </c>
      <c r="G125" s="21">
        <v>26</v>
      </c>
      <c r="H125" s="27" t="s">
        <v>94</v>
      </c>
      <c r="I125" s="21">
        <v>17918</v>
      </c>
      <c r="J125" s="27" t="s">
        <v>94</v>
      </c>
      <c r="K125" s="12">
        <f t="shared" si="29"/>
        <v>593621</v>
      </c>
      <c r="L125" s="30">
        <v>12756.322340000001</v>
      </c>
      <c r="M125" s="12">
        <f>B125+C125+D125+G125+H125+I125+J125-L125</f>
        <v>582989.67766000004</v>
      </c>
      <c r="N125" s="21">
        <v>363332</v>
      </c>
      <c r="O125" s="21">
        <v>7150</v>
      </c>
      <c r="P125" s="21">
        <f t="shared" ref="P125" si="49">N125-O125</f>
        <v>356182</v>
      </c>
      <c r="Q125" s="21">
        <f t="shared" ref="Q125" si="50">K125+P125</f>
        <v>949803</v>
      </c>
    </row>
    <row r="126" spans="1:17" ht="15.75" customHeight="1" x14ac:dyDescent="0.2">
      <c r="A126" s="22" t="s">
        <v>74</v>
      </c>
      <c r="B126" s="21"/>
      <c r="C126" s="21"/>
      <c r="D126" s="21"/>
      <c r="E126" s="21"/>
      <c r="F126" s="21"/>
      <c r="G126" s="21"/>
      <c r="H126" s="31"/>
      <c r="I126" s="21"/>
      <c r="J126" s="28"/>
      <c r="K126" s="12"/>
      <c r="L126" s="30"/>
      <c r="M126" s="12"/>
      <c r="N126" s="21"/>
      <c r="O126" s="21"/>
      <c r="P126" s="21"/>
      <c r="Q126" s="21"/>
    </row>
    <row r="127" spans="1:17" s="10" customFormat="1" ht="12.75" customHeight="1" x14ac:dyDescent="0.2">
      <c r="A127" s="20" t="s">
        <v>86</v>
      </c>
      <c r="B127" s="21">
        <v>13002</v>
      </c>
      <c r="C127" s="21">
        <v>61770</v>
      </c>
      <c r="D127" s="21">
        <v>498847</v>
      </c>
      <c r="E127" s="21">
        <v>1519</v>
      </c>
      <c r="F127" s="21">
        <f t="shared" si="39"/>
        <v>572100</v>
      </c>
      <c r="G127" s="21">
        <v>26</v>
      </c>
      <c r="H127" s="27" t="s">
        <v>94</v>
      </c>
      <c r="I127" s="21">
        <v>17788</v>
      </c>
      <c r="J127" s="27" t="s">
        <v>94</v>
      </c>
      <c r="K127" s="12">
        <f t="shared" si="29"/>
        <v>589914</v>
      </c>
      <c r="L127" s="30">
        <v>12846.491739999999</v>
      </c>
      <c r="M127" s="12">
        <f t="shared" si="44"/>
        <v>578586.50826000003</v>
      </c>
      <c r="N127" s="21">
        <v>325179</v>
      </c>
      <c r="O127" s="21">
        <v>9240</v>
      </c>
      <c r="P127" s="21">
        <f t="shared" ref="P127" si="51">N127-O127</f>
        <v>315939</v>
      </c>
      <c r="Q127" s="21">
        <f t="shared" ref="Q127" si="52">K127+P127</f>
        <v>905853</v>
      </c>
    </row>
    <row r="128" spans="1:17" s="10" customFormat="1" ht="12.75" customHeight="1" x14ac:dyDescent="0.2">
      <c r="A128" s="20" t="s">
        <v>87</v>
      </c>
      <c r="B128" s="21">
        <v>12778</v>
      </c>
      <c r="C128" s="21">
        <v>60685</v>
      </c>
      <c r="D128" s="21">
        <v>542807</v>
      </c>
      <c r="E128" s="21">
        <v>2540</v>
      </c>
      <c r="F128" s="21">
        <f t="shared" si="39"/>
        <v>613730</v>
      </c>
      <c r="G128" s="21">
        <v>25</v>
      </c>
      <c r="H128" s="27" t="s">
        <v>94</v>
      </c>
      <c r="I128" s="21">
        <v>17855</v>
      </c>
      <c r="J128" s="27" t="s">
        <v>94</v>
      </c>
      <c r="K128" s="12">
        <f t="shared" si="29"/>
        <v>631610</v>
      </c>
      <c r="L128" s="30">
        <v>11705.7094</v>
      </c>
      <c r="M128" s="12">
        <f t="shared" si="44"/>
        <v>622444.29059999995</v>
      </c>
      <c r="N128" s="21">
        <v>345216</v>
      </c>
      <c r="O128" s="21">
        <v>13185</v>
      </c>
      <c r="P128" s="21">
        <f t="shared" ref="P128" si="53">N128-O128</f>
        <v>332031</v>
      </c>
      <c r="Q128" s="21">
        <f t="shared" ref="Q128" si="54">K128+P128</f>
        <v>963641</v>
      </c>
    </row>
    <row r="129" spans="1:17" s="10" customFormat="1" ht="12.75" customHeight="1" x14ac:dyDescent="0.2">
      <c r="A129" s="20" t="s">
        <v>78</v>
      </c>
      <c r="B129" s="21">
        <v>12636</v>
      </c>
      <c r="C129" s="21">
        <v>60011</v>
      </c>
      <c r="D129" s="21">
        <v>550372</v>
      </c>
      <c r="E129" s="21">
        <v>1667</v>
      </c>
      <c r="F129" s="21">
        <f t="shared" si="39"/>
        <v>621352</v>
      </c>
      <c r="G129" s="21">
        <v>22</v>
      </c>
      <c r="H129" s="27" t="s">
        <v>94</v>
      </c>
      <c r="I129" s="21">
        <v>17861</v>
      </c>
      <c r="J129" s="27" t="s">
        <v>94</v>
      </c>
      <c r="K129" s="12">
        <f t="shared" si="29"/>
        <v>639235</v>
      </c>
      <c r="L129" s="30">
        <v>11837.891100000001</v>
      </c>
      <c r="M129" s="12">
        <f t="shared" si="44"/>
        <v>629064.10889999999</v>
      </c>
      <c r="N129" s="21">
        <v>365209</v>
      </c>
      <c r="O129" s="21">
        <v>12190</v>
      </c>
      <c r="P129" s="21">
        <f t="shared" ref="P129" si="55">N129-O129</f>
        <v>353019</v>
      </c>
      <c r="Q129" s="21">
        <f t="shared" ref="Q129" si="56">K129+P129</f>
        <v>992254</v>
      </c>
    </row>
    <row r="130" spans="1:17" s="10" customFormat="1" ht="12.75" customHeight="1" x14ac:dyDescent="0.2">
      <c r="A130" s="20" t="s">
        <v>88</v>
      </c>
      <c r="B130" s="21">
        <v>12729</v>
      </c>
      <c r="C130" s="21">
        <v>60451</v>
      </c>
      <c r="D130" s="21">
        <v>564628</v>
      </c>
      <c r="E130" s="21">
        <v>3706</v>
      </c>
      <c r="F130" s="21">
        <f t="shared" si="39"/>
        <v>634102</v>
      </c>
      <c r="G130" s="21">
        <v>22</v>
      </c>
      <c r="H130" s="27" t="s">
        <v>94</v>
      </c>
      <c r="I130" s="21">
        <v>17972</v>
      </c>
      <c r="J130" s="27" t="s">
        <v>94</v>
      </c>
      <c r="K130" s="12">
        <f t="shared" si="29"/>
        <v>652096</v>
      </c>
      <c r="L130" s="30">
        <v>12063.623020000001</v>
      </c>
      <c r="M130" s="12">
        <f t="shared" si="44"/>
        <v>643738.37697999994</v>
      </c>
      <c r="N130" s="21">
        <v>357189</v>
      </c>
      <c r="O130" s="21">
        <v>9397</v>
      </c>
      <c r="P130" s="21">
        <f t="shared" ref="P130:P131" si="57">N130-O130</f>
        <v>347792</v>
      </c>
      <c r="Q130" s="21">
        <f t="shared" ref="Q130:Q131" si="58">K130+P130</f>
        <v>999888</v>
      </c>
    </row>
    <row r="131" spans="1:17" s="10" customFormat="1" ht="12.75" customHeight="1" x14ac:dyDescent="0.2">
      <c r="A131" s="20" t="s">
        <v>89</v>
      </c>
      <c r="B131" s="21">
        <v>12642</v>
      </c>
      <c r="C131" s="21">
        <v>60025</v>
      </c>
      <c r="D131" s="21">
        <v>603088</v>
      </c>
      <c r="E131" s="21">
        <v>1247</v>
      </c>
      <c r="F131" s="21">
        <f t="shared" si="39"/>
        <v>674508</v>
      </c>
      <c r="G131" s="21">
        <v>22</v>
      </c>
      <c r="H131" s="27" t="s">
        <v>94</v>
      </c>
      <c r="I131" s="21">
        <v>17763</v>
      </c>
      <c r="J131" s="27" t="s">
        <v>94</v>
      </c>
      <c r="K131" s="12">
        <f t="shared" si="29"/>
        <v>692293</v>
      </c>
      <c r="L131" s="30">
        <v>11972.263580000001</v>
      </c>
      <c r="M131" s="12">
        <f t="shared" si="44"/>
        <v>681567.73641999997</v>
      </c>
      <c r="N131" s="21">
        <v>344887</v>
      </c>
      <c r="O131" s="21">
        <v>8592</v>
      </c>
      <c r="P131" s="21">
        <f t="shared" si="57"/>
        <v>336295</v>
      </c>
      <c r="Q131" s="21">
        <f t="shared" si="58"/>
        <v>1028588</v>
      </c>
    </row>
    <row r="132" spans="1:17" s="10" customFormat="1" ht="12.75" customHeight="1" x14ac:dyDescent="0.2">
      <c r="A132" s="20" t="s">
        <v>79</v>
      </c>
      <c r="B132" s="21">
        <v>12686</v>
      </c>
      <c r="C132" s="21">
        <v>60232</v>
      </c>
      <c r="D132" s="21">
        <v>626671</v>
      </c>
      <c r="E132" s="21">
        <v>1274</v>
      </c>
      <c r="F132" s="21">
        <f t="shared" si="39"/>
        <v>698315</v>
      </c>
      <c r="G132" s="21">
        <v>22</v>
      </c>
      <c r="H132" s="27" t="s">
        <v>94</v>
      </c>
      <c r="I132" s="21">
        <v>17590</v>
      </c>
      <c r="J132" s="27" t="s">
        <v>94</v>
      </c>
      <c r="K132" s="12">
        <f t="shared" si="29"/>
        <v>715927</v>
      </c>
      <c r="L132" s="30">
        <v>12197.33992</v>
      </c>
      <c r="M132" s="12">
        <f t="shared" si="44"/>
        <v>705003.66007999994</v>
      </c>
      <c r="N132" s="21">
        <v>341258</v>
      </c>
      <c r="O132" s="21">
        <v>8055</v>
      </c>
      <c r="P132" s="21">
        <f t="shared" ref="P132" si="59">N132-O132</f>
        <v>333203</v>
      </c>
      <c r="Q132" s="21">
        <f t="shared" ref="Q132" si="60">K132+P132</f>
        <v>1049130</v>
      </c>
    </row>
    <row r="133" spans="1:17" s="10" customFormat="1" ht="12.75" customHeight="1" x14ac:dyDescent="0.2">
      <c r="A133" s="20" t="s">
        <v>90</v>
      </c>
      <c r="B133" s="21">
        <v>12765</v>
      </c>
      <c r="C133" s="21">
        <v>60605</v>
      </c>
      <c r="D133" s="21">
        <v>651570</v>
      </c>
      <c r="E133" s="21">
        <v>2651</v>
      </c>
      <c r="F133" s="21">
        <f t="shared" si="39"/>
        <v>722289</v>
      </c>
      <c r="G133" s="21">
        <v>22</v>
      </c>
      <c r="H133" s="27" t="s">
        <v>94</v>
      </c>
      <c r="I133" s="21">
        <v>17545</v>
      </c>
      <c r="J133" s="27" t="s">
        <v>94</v>
      </c>
      <c r="K133" s="12">
        <f t="shared" si="29"/>
        <v>739856</v>
      </c>
      <c r="L133" s="30">
        <v>12202.4532</v>
      </c>
      <c r="M133" s="12">
        <f t="shared" si="44"/>
        <v>730304.54680000001</v>
      </c>
      <c r="N133" s="21">
        <v>338051</v>
      </c>
      <c r="O133" s="21">
        <v>6025</v>
      </c>
      <c r="P133" s="21">
        <f t="shared" ref="P133" si="61">N133-O133</f>
        <v>332026</v>
      </c>
      <c r="Q133" s="21">
        <f t="shared" ref="Q133" si="62">K133+P133</f>
        <v>1071882</v>
      </c>
    </row>
    <row r="134" spans="1:17" s="10" customFormat="1" ht="12.75" customHeight="1" x14ac:dyDescent="0.2">
      <c r="A134" s="20" t="s">
        <v>91</v>
      </c>
      <c r="B134" s="21">
        <v>12782</v>
      </c>
      <c r="C134" s="21">
        <v>60674</v>
      </c>
      <c r="D134" s="21">
        <v>657685</v>
      </c>
      <c r="E134" s="21">
        <v>3235</v>
      </c>
      <c r="F134" s="21">
        <f t="shared" si="39"/>
        <v>727906</v>
      </c>
      <c r="G134" s="21">
        <v>22</v>
      </c>
      <c r="H134" s="27" t="s">
        <v>94</v>
      </c>
      <c r="I134" s="21">
        <v>17474</v>
      </c>
      <c r="J134" s="27" t="s">
        <v>94</v>
      </c>
      <c r="K134" s="12">
        <f t="shared" si="29"/>
        <v>745402</v>
      </c>
      <c r="L134" s="30">
        <v>11252.407359999999</v>
      </c>
      <c r="M134" s="12">
        <f t="shared" si="44"/>
        <v>737384.59264000005</v>
      </c>
      <c r="N134" s="21">
        <v>327683</v>
      </c>
      <c r="O134" s="21">
        <v>7271</v>
      </c>
      <c r="P134" s="21">
        <f t="shared" ref="P134" si="63">N134-O134</f>
        <v>320412</v>
      </c>
      <c r="Q134" s="21">
        <f t="shared" ref="Q134" si="64">K134+P134</f>
        <v>1065814</v>
      </c>
    </row>
    <row r="135" spans="1:17" s="10" customFormat="1" ht="12.75" customHeight="1" x14ac:dyDescent="0.2">
      <c r="A135" s="20" t="s">
        <v>80</v>
      </c>
      <c r="B135" s="21">
        <v>12940</v>
      </c>
      <c r="C135" s="21">
        <v>61427</v>
      </c>
      <c r="D135" s="21">
        <v>666798</v>
      </c>
      <c r="E135" s="21">
        <v>1640</v>
      </c>
      <c r="F135" s="21">
        <f t="shared" si="39"/>
        <v>739525</v>
      </c>
      <c r="G135" s="21">
        <v>23</v>
      </c>
      <c r="H135" s="27" t="s">
        <v>94</v>
      </c>
      <c r="I135" s="21">
        <v>17588</v>
      </c>
      <c r="J135" s="27" t="s">
        <v>94</v>
      </c>
      <c r="K135" s="12">
        <f t="shared" si="29"/>
        <v>757136</v>
      </c>
      <c r="L135" s="30">
        <v>11125.923360000001</v>
      </c>
      <c r="M135" s="12">
        <f t="shared" si="44"/>
        <v>747650.07663999998</v>
      </c>
      <c r="N135" s="21">
        <v>297807</v>
      </c>
      <c r="O135" s="21">
        <v>19822</v>
      </c>
      <c r="P135" s="21">
        <f t="shared" ref="P135" si="65">N135-O135</f>
        <v>277985</v>
      </c>
      <c r="Q135" s="21">
        <f>K135+P135</f>
        <v>1035121</v>
      </c>
    </row>
    <row r="136" spans="1:17" s="10" customFormat="1" ht="12.75" customHeight="1" x14ac:dyDescent="0.2">
      <c r="A136" s="20" t="s">
        <v>92</v>
      </c>
      <c r="B136" s="21">
        <v>12974</v>
      </c>
      <c r="C136" s="21">
        <v>61585</v>
      </c>
      <c r="D136" s="21">
        <v>714219</v>
      </c>
      <c r="E136" s="21">
        <v>1342</v>
      </c>
      <c r="F136" s="21">
        <f t="shared" si="39"/>
        <v>787436</v>
      </c>
      <c r="G136" s="21">
        <v>17</v>
      </c>
      <c r="H136" s="27" t="s">
        <v>94</v>
      </c>
      <c r="I136" s="21">
        <v>17640</v>
      </c>
      <c r="J136" s="27" t="s">
        <v>94</v>
      </c>
      <c r="K136" s="12">
        <f t="shared" si="29"/>
        <v>805093</v>
      </c>
      <c r="L136" s="30">
        <v>11170.398719999999</v>
      </c>
      <c r="M136" s="12">
        <f t="shared" si="44"/>
        <v>795264.60127999994</v>
      </c>
      <c r="N136" s="21">
        <v>277200</v>
      </c>
      <c r="O136" s="21">
        <v>10492</v>
      </c>
      <c r="P136" s="21">
        <f t="shared" ref="P136" si="66">N136-O136</f>
        <v>266708</v>
      </c>
      <c r="Q136" s="21">
        <f t="shared" ref="Q136" si="67">K136+P136</f>
        <v>1071801</v>
      </c>
    </row>
    <row r="137" spans="1:17" s="10" customFormat="1" ht="12.75" customHeight="1" x14ac:dyDescent="0.2">
      <c r="A137" s="20" t="s">
        <v>93</v>
      </c>
      <c r="B137" s="21">
        <v>12950</v>
      </c>
      <c r="C137" s="21">
        <v>61464</v>
      </c>
      <c r="D137" s="21">
        <v>725539</v>
      </c>
      <c r="E137" s="21">
        <v>2588</v>
      </c>
      <c r="F137" s="21">
        <f>B137+C137+D137-E137</f>
        <v>797365</v>
      </c>
      <c r="G137" s="21">
        <v>17</v>
      </c>
      <c r="H137" s="27" t="s">
        <v>94</v>
      </c>
      <c r="I137" s="21">
        <v>17601</v>
      </c>
      <c r="J137" s="27" t="s">
        <v>94</v>
      </c>
      <c r="K137" s="12">
        <f t="shared" si="29"/>
        <v>814983</v>
      </c>
      <c r="L137" s="30">
        <v>11420.60968</v>
      </c>
      <c r="M137" s="12">
        <f>B137+C137+D137+G137+H137+I137+J137-L137</f>
        <v>806150.39032000001</v>
      </c>
      <c r="N137" s="21">
        <v>267063</v>
      </c>
      <c r="O137" s="21">
        <v>16621</v>
      </c>
      <c r="P137" s="21">
        <f t="shared" ref="P137:P142" si="68">N137-O137</f>
        <v>250442</v>
      </c>
      <c r="Q137" s="21">
        <f t="shared" ref="Q137:Q142" si="69">K137+P137</f>
        <v>1065425</v>
      </c>
    </row>
    <row r="138" spans="1:17" s="10" customFormat="1" ht="12.75" customHeight="1" x14ac:dyDescent="0.2">
      <c r="A138" s="20" t="s">
        <v>81</v>
      </c>
      <c r="B138" s="21">
        <v>12990</v>
      </c>
      <c r="C138" s="21">
        <v>61656</v>
      </c>
      <c r="D138" s="21">
        <v>729952</v>
      </c>
      <c r="E138" s="21">
        <v>1324</v>
      </c>
      <c r="F138" s="21">
        <f>B138+C138+D138-E138</f>
        <v>803274</v>
      </c>
      <c r="G138" s="21">
        <v>16</v>
      </c>
      <c r="H138" s="27" t="s">
        <v>94</v>
      </c>
      <c r="I138" s="21">
        <v>17467</v>
      </c>
      <c r="J138" s="27" t="s">
        <v>94</v>
      </c>
      <c r="K138" s="12">
        <f>F138+G138+H138+I138+J138</f>
        <v>820757</v>
      </c>
      <c r="L138" s="30">
        <v>11892.7372</v>
      </c>
      <c r="M138" s="12">
        <f>B138+C138+D138+G138+H138+I138+J138-L138</f>
        <v>810188.26280000003</v>
      </c>
      <c r="N138" s="21">
        <v>294278</v>
      </c>
      <c r="O138" s="21">
        <v>27337</v>
      </c>
      <c r="P138" s="21">
        <f t="shared" si="68"/>
        <v>266941</v>
      </c>
      <c r="Q138" s="21">
        <f>K138+P138</f>
        <v>1087698</v>
      </c>
    </row>
    <row r="139" spans="1:17" s="10" customFormat="1" ht="13.5" customHeight="1" x14ac:dyDescent="0.2">
      <c r="A139" s="24">
        <v>2014</v>
      </c>
      <c r="B139" s="21"/>
      <c r="C139" s="21"/>
      <c r="D139" s="21"/>
      <c r="E139" s="21"/>
      <c r="F139" s="21"/>
      <c r="G139" s="21"/>
      <c r="H139" s="31"/>
      <c r="I139" s="21"/>
      <c r="J139" s="28"/>
      <c r="K139" s="12"/>
      <c r="L139" s="30"/>
      <c r="M139" s="12"/>
      <c r="N139" s="21"/>
      <c r="O139" s="21"/>
      <c r="P139" s="21"/>
      <c r="Q139" s="21"/>
    </row>
    <row r="140" spans="1:17" s="10" customFormat="1" ht="12.75" customHeight="1" x14ac:dyDescent="0.2">
      <c r="A140" s="20" t="s">
        <v>86</v>
      </c>
      <c r="B140" s="21">
        <v>12941</v>
      </c>
      <c r="C140" s="21">
        <v>61424</v>
      </c>
      <c r="D140" s="21">
        <v>744174</v>
      </c>
      <c r="E140" s="21">
        <v>1248</v>
      </c>
      <c r="F140" s="21">
        <f t="shared" ref="F140:F143" si="70">B140+C140+D140-E140</f>
        <v>817291</v>
      </c>
      <c r="G140" s="21">
        <v>16</v>
      </c>
      <c r="H140" s="27" t="s">
        <v>94</v>
      </c>
      <c r="I140" s="21">
        <v>17670.55</v>
      </c>
      <c r="J140" s="27" t="s">
        <v>94</v>
      </c>
      <c r="K140" s="12">
        <f t="shared" ref="K140:K143" si="71">F140+G140+H140+I140+J140</f>
        <v>834977.55</v>
      </c>
      <c r="L140" s="30">
        <v>12397.2065</v>
      </c>
      <c r="M140" s="12">
        <f t="shared" ref="M140:M150" si="72">B140+C140+D140+G140+H140+I140+J140-L140</f>
        <v>823828.34350000008</v>
      </c>
      <c r="N140" s="21">
        <v>319362</v>
      </c>
      <c r="O140" s="21">
        <v>30055</v>
      </c>
      <c r="P140" s="21">
        <f t="shared" si="68"/>
        <v>289307</v>
      </c>
      <c r="Q140" s="21">
        <f t="shared" si="69"/>
        <v>1124284.55</v>
      </c>
    </row>
    <row r="141" spans="1:17" s="10" customFormat="1" ht="12.75" customHeight="1" x14ac:dyDescent="0.2">
      <c r="A141" s="20" t="s">
        <v>87</v>
      </c>
      <c r="B141" s="21">
        <v>13053</v>
      </c>
      <c r="C141" s="21">
        <v>61950</v>
      </c>
      <c r="D141" s="21">
        <v>729551</v>
      </c>
      <c r="E141" s="21">
        <v>1244</v>
      </c>
      <c r="F141" s="21">
        <f t="shared" si="70"/>
        <v>803310</v>
      </c>
      <c r="G141" s="21">
        <v>15</v>
      </c>
      <c r="H141" s="27" t="s">
        <v>94</v>
      </c>
      <c r="I141" s="21">
        <v>17716.63</v>
      </c>
      <c r="J141" s="27" t="s">
        <v>94</v>
      </c>
      <c r="K141" s="12">
        <f t="shared" si="71"/>
        <v>821041.63</v>
      </c>
      <c r="L141" s="30">
        <v>11501.8729</v>
      </c>
      <c r="M141" s="12">
        <f t="shared" si="72"/>
        <v>810783.75710000005</v>
      </c>
      <c r="N141" s="21">
        <v>360625</v>
      </c>
      <c r="O141" s="21">
        <v>37357</v>
      </c>
      <c r="P141" s="21">
        <f t="shared" si="68"/>
        <v>323268</v>
      </c>
      <c r="Q141" s="21">
        <f t="shared" si="69"/>
        <v>1144309.6299999999</v>
      </c>
    </row>
    <row r="142" spans="1:17" s="10" customFormat="1" ht="12.75" customHeight="1" x14ac:dyDescent="0.2">
      <c r="A142" s="20" t="s">
        <v>78</v>
      </c>
      <c r="B142" s="21">
        <v>13038</v>
      </c>
      <c r="C142" s="21">
        <v>61880</v>
      </c>
      <c r="D142" s="21">
        <v>769749</v>
      </c>
      <c r="E142" s="21">
        <v>2229</v>
      </c>
      <c r="F142" s="21">
        <f t="shared" si="70"/>
        <v>842438</v>
      </c>
      <c r="G142" s="21">
        <v>15</v>
      </c>
      <c r="H142" s="27" t="s">
        <v>94</v>
      </c>
      <c r="I142" s="21">
        <v>17664.454000000002</v>
      </c>
      <c r="J142" s="27" t="s">
        <v>94</v>
      </c>
      <c r="K142" s="12">
        <f t="shared" si="71"/>
        <v>860117.45400000003</v>
      </c>
      <c r="L142" s="30">
        <v>9986.1873599999999</v>
      </c>
      <c r="M142" s="12">
        <f t="shared" si="72"/>
        <v>852360.26664000005</v>
      </c>
      <c r="N142" s="21">
        <v>369982</v>
      </c>
      <c r="O142" s="21">
        <v>59937</v>
      </c>
      <c r="P142" s="21">
        <f t="shared" si="68"/>
        <v>310045</v>
      </c>
      <c r="Q142" s="21">
        <f t="shared" si="69"/>
        <v>1170162.4539999999</v>
      </c>
    </row>
    <row r="143" spans="1:17" s="10" customFormat="1" ht="12.75" customHeight="1" x14ac:dyDescent="0.2">
      <c r="A143" s="20" t="s">
        <v>88</v>
      </c>
      <c r="B143" s="21">
        <v>13072</v>
      </c>
      <c r="C143" s="21">
        <v>62042</v>
      </c>
      <c r="D143" s="21">
        <v>773761</v>
      </c>
      <c r="E143" s="21">
        <v>1282</v>
      </c>
      <c r="F143" s="21">
        <f t="shared" si="70"/>
        <v>847593</v>
      </c>
      <c r="G143" s="21">
        <v>15</v>
      </c>
      <c r="H143" s="27" t="s">
        <v>94</v>
      </c>
      <c r="I143" s="21">
        <v>17700.128000000001</v>
      </c>
      <c r="J143" s="27" t="s">
        <v>94</v>
      </c>
      <c r="K143" s="12">
        <f t="shared" si="71"/>
        <v>865308.12800000003</v>
      </c>
      <c r="L143" s="30">
        <v>9776.6494399999992</v>
      </c>
      <c r="M143" s="12">
        <f t="shared" si="72"/>
        <v>856813.47856000008</v>
      </c>
      <c r="N143" s="21">
        <v>381854</v>
      </c>
      <c r="O143" s="21">
        <v>57407</v>
      </c>
      <c r="P143" s="21">
        <f t="shared" ref="P143" si="73">N143-O143</f>
        <v>324447</v>
      </c>
      <c r="Q143" s="21">
        <f t="shared" ref="Q143" si="74">K143+P143</f>
        <v>1189755.128</v>
      </c>
    </row>
    <row r="144" spans="1:17" s="10" customFormat="1" ht="12.75" customHeight="1" x14ac:dyDescent="0.2">
      <c r="A144" s="20" t="s">
        <v>89</v>
      </c>
      <c r="B144" s="21">
        <v>12994</v>
      </c>
      <c r="C144" s="21">
        <v>61677</v>
      </c>
      <c r="D144" s="21">
        <v>797277</v>
      </c>
      <c r="E144" s="21">
        <v>3236</v>
      </c>
      <c r="F144" s="21">
        <f t="shared" ref="F144:F150" si="75">B144+C144+D144-E144</f>
        <v>868712</v>
      </c>
      <c r="G144" s="21">
        <v>15</v>
      </c>
      <c r="H144" s="27" t="s">
        <v>94</v>
      </c>
      <c r="I144" s="21">
        <v>17797.695</v>
      </c>
      <c r="J144" s="27" t="s">
        <v>94</v>
      </c>
      <c r="K144" s="12">
        <f t="shared" ref="K144:K149" si="76">F144+G144+H144+I144+J144</f>
        <v>886524.69499999995</v>
      </c>
      <c r="L144" s="30">
        <v>9890.2602000000006</v>
      </c>
      <c r="M144" s="12">
        <f t="shared" si="72"/>
        <v>879870.43479999993</v>
      </c>
      <c r="N144" s="21">
        <v>362694</v>
      </c>
      <c r="O144" s="21">
        <v>52620</v>
      </c>
      <c r="P144" s="21">
        <f t="shared" ref="P144" si="77">N144-O144</f>
        <v>310074</v>
      </c>
      <c r="Q144" s="21">
        <f t="shared" ref="Q144" si="78">K144+P144</f>
        <v>1196598.6949999998</v>
      </c>
    </row>
    <row r="145" spans="1:17" s="10" customFormat="1" ht="12.75" customHeight="1" x14ac:dyDescent="0.2">
      <c r="A145" s="20" t="s">
        <v>79</v>
      </c>
      <c r="B145" s="21">
        <v>13040</v>
      </c>
      <c r="C145" s="21">
        <v>61894</v>
      </c>
      <c r="D145" s="21">
        <v>800281</v>
      </c>
      <c r="E145" s="21">
        <v>1693</v>
      </c>
      <c r="F145" s="21">
        <f t="shared" si="75"/>
        <v>873522</v>
      </c>
      <c r="G145" s="21">
        <v>15</v>
      </c>
      <c r="H145" s="27">
        <v>0</v>
      </c>
      <c r="I145" s="21">
        <v>17798.582999999999</v>
      </c>
      <c r="J145" s="27">
        <v>0</v>
      </c>
      <c r="K145" s="12">
        <f>F145+G145+H145+I145+J145</f>
        <v>891335.58299999998</v>
      </c>
      <c r="L145" s="30">
        <v>10297.573259999999</v>
      </c>
      <c r="M145" s="12">
        <f t="shared" si="72"/>
        <v>882731.00974000001</v>
      </c>
      <c r="N145" s="21">
        <v>372002</v>
      </c>
      <c r="O145" s="21">
        <v>44663</v>
      </c>
      <c r="P145" s="21">
        <f t="shared" ref="P145" si="79">N145-O145</f>
        <v>327339</v>
      </c>
      <c r="Q145" s="21">
        <f t="shared" ref="Q145" si="80">K145+P145</f>
        <v>1218674.5830000001</v>
      </c>
    </row>
    <row r="146" spans="1:17" s="10" customFormat="1" ht="12.75" customHeight="1" x14ac:dyDescent="0.2">
      <c r="A146" s="20" t="s">
        <v>90</v>
      </c>
      <c r="B146" s="21">
        <v>12917</v>
      </c>
      <c r="C146" s="21">
        <v>61310</v>
      </c>
      <c r="D146" s="21">
        <v>852940</v>
      </c>
      <c r="E146" s="21">
        <v>1356</v>
      </c>
      <c r="F146" s="21">
        <f t="shared" si="75"/>
        <v>925811</v>
      </c>
      <c r="G146" s="21">
        <v>15</v>
      </c>
      <c r="H146" s="27">
        <v>0</v>
      </c>
      <c r="I146" s="21">
        <v>17769.109</v>
      </c>
      <c r="J146" s="27">
        <v>0</v>
      </c>
      <c r="K146" s="12">
        <f t="shared" si="76"/>
        <v>943595.10900000005</v>
      </c>
      <c r="L146" s="30">
        <v>10641</v>
      </c>
      <c r="M146" s="12">
        <f t="shared" si="72"/>
        <v>934310.10900000005</v>
      </c>
      <c r="N146" s="21">
        <v>337764</v>
      </c>
      <c r="O146" s="21">
        <v>38841</v>
      </c>
      <c r="P146" s="21">
        <f t="shared" ref="P146:P151" si="81">N146-O146</f>
        <v>298923</v>
      </c>
      <c r="Q146" s="21">
        <f t="shared" ref="Q146:Q151" si="82">K146+P146</f>
        <v>1242518.1090000002</v>
      </c>
    </row>
    <row r="147" spans="1:17" s="10" customFormat="1" ht="12.75" customHeight="1" x14ac:dyDescent="0.2">
      <c r="A147" s="20" t="s">
        <v>91</v>
      </c>
      <c r="B147" s="21">
        <v>12808</v>
      </c>
      <c r="C147" s="21">
        <v>60796</v>
      </c>
      <c r="D147" s="21">
        <v>846948</v>
      </c>
      <c r="E147" s="21">
        <v>1453</v>
      </c>
      <c r="F147" s="21">
        <f t="shared" si="75"/>
        <v>919099</v>
      </c>
      <c r="G147" s="21">
        <v>15</v>
      </c>
      <c r="H147" s="27">
        <v>0</v>
      </c>
      <c r="I147" s="21">
        <v>19701.151999999998</v>
      </c>
      <c r="J147" s="27">
        <v>0</v>
      </c>
      <c r="K147" s="12">
        <f t="shared" si="76"/>
        <v>938815.152</v>
      </c>
      <c r="L147" s="30">
        <v>8710.4509199999993</v>
      </c>
      <c r="M147" s="12">
        <f t="shared" si="72"/>
        <v>931557.70108000003</v>
      </c>
      <c r="N147" s="21">
        <v>317472</v>
      </c>
      <c r="O147" s="21">
        <v>37497</v>
      </c>
      <c r="P147" s="21">
        <f t="shared" si="81"/>
        <v>279975</v>
      </c>
      <c r="Q147" s="21">
        <f t="shared" si="82"/>
        <v>1218790.152</v>
      </c>
    </row>
    <row r="148" spans="1:17" s="10" customFormat="1" ht="12.75" customHeight="1" x14ac:dyDescent="0.2">
      <c r="A148" s="20" t="s">
        <v>80</v>
      </c>
      <c r="B148" s="21">
        <v>12506</v>
      </c>
      <c r="C148" s="21">
        <v>59363</v>
      </c>
      <c r="D148" s="21">
        <v>875299</v>
      </c>
      <c r="E148" s="21">
        <v>1674</v>
      </c>
      <c r="F148" s="21">
        <f t="shared" si="75"/>
        <v>945494</v>
      </c>
      <c r="G148" s="21">
        <v>15</v>
      </c>
      <c r="H148" s="27">
        <v>0</v>
      </c>
      <c r="I148" s="21">
        <v>17957.056</v>
      </c>
      <c r="J148" s="27">
        <v>0</v>
      </c>
      <c r="K148" s="12">
        <f t="shared" si="76"/>
        <v>963466.05599999998</v>
      </c>
      <c r="L148" s="30">
        <v>8575</v>
      </c>
      <c r="M148" s="12">
        <f t="shared" si="72"/>
        <v>956565.05599999998</v>
      </c>
      <c r="N148" s="21">
        <v>294681</v>
      </c>
      <c r="O148" s="21">
        <v>39964</v>
      </c>
      <c r="P148" s="21">
        <f t="shared" si="81"/>
        <v>254717</v>
      </c>
      <c r="Q148" s="21">
        <f t="shared" si="82"/>
        <v>1218183.0559999999</v>
      </c>
    </row>
    <row r="149" spans="1:17" s="10" customFormat="1" ht="12.75" customHeight="1" x14ac:dyDescent="0.2">
      <c r="A149" s="20" t="s">
        <v>92</v>
      </c>
      <c r="B149" s="21">
        <v>12470</v>
      </c>
      <c r="C149" s="21">
        <v>59193</v>
      </c>
      <c r="D149" s="21">
        <v>870240</v>
      </c>
      <c r="E149" s="21">
        <v>1757</v>
      </c>
      <c r="F149" s="21">
        <f t="shared" si="75"/>
        <v>940146</v>
      </c>
      <c r="G149" s="21">
        <v>14</v>
      </c>
      <c r="H149" s="27">
        <v>0</v>
      </c>
      <c r="I149" s="21">
        <v>17919.817999999999</v>
      </c>
      <c r="J149" s="27">
        <v>0</v>
      </c>
      <c r="K149" s="12">
        <f t="shared" si="76"/>
        <v>958079.81799999997</v>
      </c>
      <c r="L149" s="30">
        <v>8584</v>
      </c>
      <c r="M149" s="12">
        <f t="shared" si="72"/>
        <v>951252.81799999997</v>
      </c>
      <c r="N149" s="21">
        <v>275003</v>
      </c>
      <c r="O149" s="21">
        <v>36609</v>
      </c>
      <c r="P149" s="21">
        <f t="shared" si="81"/>
        <v>238394</v>
      </c>
      <c r="Q149" s="21">
        <f t="shared" si="82"/>
        <v>1196473.818</v>
      </c>
    </row>
    <row r="150" spans="1:17" s="10" customFormat="1" ht="12.75" customHeight="1" x14ac:dyDescent="0.2">
      <c r="A150" s="20" t="s">
        <v>93</v>
      </c>
      <c r="B150" s="21">
        <v>12351</v>
      </c>
      <c r="C150" s="21">
        <v>58630</v>
      </c>
      <c r="D150" s="21">
        <v>882360</v>
      </c>
      <c r="E150" s="21">
        <v>1574</v>
      </c>
      <c r="F150" s="21">
        <f t="shared" si="75"/>
        <v>951767</v>
      </c>
      <c r="G150" s="21">
        <v>8</v>
      </c>
      <c r="H150" s="27">
        <v>0</v>
      </c>
      <c r="I150" s="21">
        <v>18032.329000000002</v>
      </c>
      <c r="J150" s="27">
        <v>0</v>
      </c>
      <c r="K150" s="12">
        <f>F150+G150+H150+I150+J150</f>
        <v>969807.32900000003</v>
      </c>
      <c r="L150" s="30">
        <v>9112</v>
      </c>
      <c r="M150" s="12">
        <f t="shared" si="72"/>
        <v>962269.32900000003</v>
      </c>
      <c r="N150" s="21">
        <v>257881</v>
      </c>
      <c r="O150" s="21">
        <v>36629</v>
      </c>
      <c r="P150" s="21">
        <f t="shared" si="81"/>
        <v>221252</v>
      </c>
      <c r="Q150" s="21">
        <f t="shared" si="82"/>
        <v>1191059.3289999999</v>
      </c>
    </row>
    <row r="151" spans="1:17" s="10" customFormat="1" ht="12.75" customHeight="1" x14ac:dyDescent="0.2">
      <c r="A151" s="20" t="s">
        <v>81</v>
      </c>
      <c r="B151" s="21">
        <v>12221</v>
      </c>
      <c r="C151" s="21">
        <v>58013</v>
      </c>
      <c r="D151" s="21">
        <v>895034</v>
      </c>
      <c r="E151" s="21">
        <v>1273</v>
      </c>
      <c r="F151" s="21">
        <f>B151+C151+D151-E151</f>
        <v>963995</v>
      </c>
      <c r="G151" s="21">
        <v>8</v>
      </c>
      <c r="H151" s="27">
        <v>0</v>
      </c>
      <c r="I151" s="21">
        <v>18044.737000000001</v>
      </c>
      <c r="J151" s="27">
        <v>0</v>
      </c>
      <c r="K151" s="12">
        <f>F151+G151+H151+I151+J151</f>
        <v>982047.73699999996</v>
      </c>
      <c r="L151" s="30">
        <v>9075</v>
      </c>
      <c r="M151" s="12">
        <f>B151+C151+D151+G151+H151+I151+J151-L151</f>
        <v>974245.73699999996</v>
      </c>
      <c r="N151" s="21">
        <v>280571</v>
      </c>
      <c r="O151" s="21">
        <v>35786</v>
      </c>
      <c r="P151" s="21">
        <f t="shared" si="81"/>
        <v>244785</v>
      </c>
      <c r="Q151" s="21">
        <f t="shared" si="82"/>
        <v>1226832.737</v>
      </c>
    </row>
    <row r="152" spans="1:17" ht="12.75" x14ac:dyDescent="0.2">
      <c r="A152" s="24">
        <v>2015</v>
      </c>
      <c r="B152" s="21"/>
      <c r="C152" s="21"/>
      <c r="D152" s="21"/>
      <c r="E152" s="21"/>
      <c r="F152" s="21"/>
      <c r="G152" s="21"/>
      <c r="H152" s="31"/>
      <c r="I152" s="21"/>
      <c r="J152" s="28"/>
      <c r="K152" s="12"/>
      <c r="L152" s="30"/>
      <c r="M152" s="12"/>
      <c r="N152" s="21"/>
      <c r="O152" s="21"/>
      <c r="P152" s="21"/>
      <c r="Q152" s="21"/>
    </row>
    <row r="153" spans="1:17" ht="12.75" x14ac:dyDescent="0.2">
      <c r="A153" s="20" t="s">
        <v>86</v>
      </c>
      <c r="B153" s="21">
        <v>11900.245860000001</v>
      </c>
      <c r="C153" s="21">
        <v>56450.563090000003</v>
      </c>
      <c r="D153" s="21">
        <v>886999.49934999971</v>
      </c>
      <c r="E153" s="21">
        <v>1249.0975700000001</v>
      </c>
      <c r="F153" s="21">
        <v>954101.2107299997</v>
      </c>
      <c r="G153" s="21">
        <v>7.8929999999999998</v>
      </c>
      <c r="H153" s="27">
        <v>0</v>
      </c>
      <c r="I153" s="21">
        <v>18329.723999999998</v>
      </c>
      <c r="J153" s="27">
        <v>0</v>
      </c>
      <c r="K153" s="12">
        <v>972438.82772999979</v>
      </c>
      <c r="L153" s="30">
        <v>9558.0239800000018</v>
      </c>
      <c r="M153" s="12">
        <v>964129.90131999971</v>
      </c>
      <c r="N153" s="21">
        <v>304372</v>
      </c>
      <c r="O153" s="21">
        <v>30771</v>
      </c>
      <c r="P153" s="21">
        <v>273601</v>
      </c>
      <c r="Q153" s="21">
        <v>1246039.8277299998</v>
      </c>
    </row>
    <row r="154" spans="1:17" ht="12.75" x14ac:dyDescent="0.2">
      <c r="A154" s="20" t="s">
        <v>87</v>
      </c>
      <c r="B154" s="21">
        <v>11874.112840000002</v>
      </c>
      <c r="C154" s="21">
        <v>56355.906659999993</v>
      </c>
      <c r="D154" s="21">
        <v>896698.91575000028</v>
      </c>
      <c r="E154" s="21">
        <v>2279.9229699999996</v>
      </c>
      <c r="F154" s="21">
        <v>962649.01228000037</v>
      </c>
      <c r="G154" s="21">
        <v>6.8390000000000004</v>
      </c>
      <c r="H154" s="27">
        <v>0</v>
      </c>
      <c r="I154" s="21">
        <v>18142.116999999998</v>
      </c>
      <c r="J154" s="27">
        <v>0</v>
      </c>
      <c r="K154" s="12">
        <v>980797.96828000038</v>
      </c>
      <c r="L154" s="32">
        <v>9139.4368000000013</v>
      </c>
      <c r="M154" s="12">
        <v>973938.45445000031</v>
      </c>
      <c r="N154" s="21">
        <v>339602</v>
      </c>
      <c r="O154" s="21">
        <v>27716</v>
      </c>
      <c r="P154" s="21">
        <v>311886</v>
      </c>
      <c r="Q154" s="21">
        <v>1292683.9682800004</v>
      </c>
    </row>
    <row r="155" spans="1:17" ht="12.75" x14ac:dyDescent="0.2">
      <c r="A155" s="20" t="s">
        <v>78</v>
      </c>
      <c r="B155" s="21">
        <v>11641.42231</v>
      </c>
      <c r="C155" s="21">
        <v>55238.711149999996</v>
      </c>
      <c r="D155" s="21">
        <v>912217.89937999996</v>
      </c>
      <c r="E155" s="21">
        <v>1779.7641699999999</v>
      </c>
      <c r="F155" s="21">
        <v>977318.26867000002</v>
      </c>
      <c r="G155" s="21">
        <v>6.5659999999999998</v>
      </c>
      <c r="H155" s="27">
        <v>0</v>
      </c>
      <c r="I155" s="21">
        <v>18201.391</v>
      </c>
      <c r="J155" s="27">
        <v>0</v>
      </c>
      <c r="K155" s="12">
        <v>995526.22566999996</v>
      </c>
      <c r="L155" s="32">
        <v>8254.6166600000015</v>
      </c>
      <c r="M155" s="12">
        <v>989051.37317999988</v>
      </c>
      <c r="N155" s="21">
        <v>361939</v>
      </c>
      <c r="O155" s="21">
        <v>26715</v>
      </c>
      <c r="P155" s="21">
        <v>335224</v>
      </c>
      <c r="Q155" s="21">
        <v>1330750.2256700001</v>
      </c>
    </row>
    <row r="156" spans="1:17" ht="12.75" x14ac:dyDescent="0.2">
      <c r="A156" s="20" t="s">
        <v>88</v>
      </c>
      <c r="B156" s="21">
        <v>11871.349310000001</v>
      </c>
      <c r="C156" s="21">
        <v>56316.204369999999</v>
      </c>
      <c r="D156" s="21">
        <v>915554.89587999985</v>
      </c>
      <c r="E156" s="21">
        <v>1718.8489500000001</v>
      </c>
      <c r="F156" s="21">
        <v>982023.60060999985</v>
      </c>
      <c r="G156" s="21">
        <v>6.8040000000000003</v>
      </c>
      <c r="H156" s="27">
        <v>0</v>
      </c>
      <c r="I156" s="21">
        <v>18101.329000000002</v>
      </c>
      <c r="J156" s="27">
        <v>0</v>
      </c>
      <c r="K156" s="12">
        <v>1000131.7336099999</v>
      </c>
      <c r="L156" s="32">
        <v>8486.0472999999984</v>
      </c>
      <c r="M156" s="12">
        <v>993364.53525999992</v>
      </c>
      <c r="N156" s="21">
        <v>369471</v>
      </c>
      <c r="O156" s="21">
        <v>28683</v>
      </c>
      <c r="P156" s="21">
        <v>340788</v>
      </c>
      <c r="Q156" s="21">
        <v>1340919.73361</v>
      </c>
    </row>
    <row r="157" spans="1:17" ht="12.75" x14ac:dyDescent="0.2">
      <c r="A157" s="20" t="s">
        <v>89</v>
      </c>
      <c r="B157" s="21">
        <v>11731.868199999999</v>
      </c>
      <c r="C157" s="21">
        <v>55680.461719999999</v>
      </c>
      <c r="D157" s="21">
        <v>949094.51986</v>
      </c>
      <c r="E157" s="21">
        <v>6928.9506500000007</v>
      </c>
      <c r="F157" s="21">
        <v>1009577.89913</v>
      </c>
      <c r="G157" s="21">
        <v>6.7809999999999997</v>
      </c>
      <c r="H157" s="27">
        <v>0</v>
      </c>
      <c r="I157" s="21">
        <v>18082.021000000001</v>
      </c>
      <c r="J157" s="27">
        <v>0</v>
      </c>
      <c r="K157" s="12">
        <v>1027666.7011299999</v>
      </c>
      <c r="L157" s="32">
        <v>8783.1725800000004</v>
      </c>
      <c r="M157" s="12">
        <v>1025812.4791999999</v>
      </c>
      <c r="N157" s="21">
        <v>350565</v>
      </c>
      <c r="O157" s="21">
        <v>27950</v>
      </c>
      <c r="P157" s="21">
        <v>322615</v>
      </c>
      <c r="Q157" s="21">
        <v>1350281.7011299999</v>
      </c>
    </row>
    <row r="158" spans="1:17" ht="12.75" x14ac:dyDescent="0.2">
      <c r="A158" s="20" t="s">
        <v>79</v>
      </c>
      <c r="B158" s="21">
        <v>11868.592719999999</v>
      </c>
      <c r="C158" s="21">
        <v>56316.752649999995</v>
      </c>
      <c r="D158" s="21">
        <v>1001139.2168000001</v>
      </c>
      <c r="E158" s="21">
        <v>7012.19175</v>
      </c>
      <c r="F158" s="21">
        <v>1062312.3704200001</v>
      </c>
      <c r="G158" s="21">
        <v>6.8860000000000001</v>
      </c>
      <c r="H158" s="27">
        <v>0</v>
      </c>
      <c r="I158" s="21">
        <v>18082.021000000001</v>
      </c>
      <c r="J158" s="27">
        <v>0</v>
      </c>
      <c r="K158" s="12">
        <v>1080401.2774199999</v>
      </c>
      <c r="L158" s="32">
        <v>9239.1302200000009</v>
      </c>
      <c r="M158" s="12">
        <v>1078174.33895</v>
      </c>
      <c r="N158" s="21">
        <v>356459</v>
      </c>
      <c r="O158" s="21">
        <v>26764</v>
      </c>
      <c r="P158" s="21">
        <v>329695</v>
      </c>
      <c r="Q158" s="21">
        <v>1410096.2774199999</v>
      </c>
    </row>
    <row r="159" spans="1:17" ht="12.75" x14ac:dyDescent="0.2">
      <c r="A159" s="20" t="s">
        <v>90</v>
      </c>
      <c r="B159" s="21">
        <v>11772.65712</v>
      </c>
      <c r="C159" s="21">
        <v>55848.644350000002</v>
      </c>
      <c r="D159" s="21">
        <v>1008443.1033000001</v>
      </c>
      <c r="E159" s="21">
        <v>7069.4674000000005</v>
      </c>
      <c r="F159" s="21">
        <v>1068994.9373700002</v>
      </c>
      <c r="G159" s="21">
        <v>6.9409999999999998</v>
      </c>
      <c r="H159" s="27">
        <v>0</v>
      </c>
      <c r="I159" s="21">
        <v>17965.918000000001</v>
      </c>
      <c r="J159" s="27">
        <v>0</v>
      </c>
      <c r="K159" s="12">
        <v>1086967.7963700003</v>
      </c>
      <c r="L159" s="32">
        <v>9245.238519999999</v>
      </c>
      <c r="M159" s="12">
        <v>1084792.0252500004</v>
      </c>
      <c r="N159" s="21">
        <v>345625</v>
      </c>
      <c r="O159" s="21">
        <v>26312</v>
      </c>
      <c r="P159" s="21">
        <v>319313</v>
      </c>
      <c r="Q159" s="21">
        <v>1406280.7963700003</v>
      </c>
    </row>
    <row r="160" spans="1:17" ht="12.75" x14ac:dyDescent="0.2">
      <c r="A160" s="20" t="s">
        <v>91</v>
      </c>
      <c r="B160" s="21">
        <v>11844.068359999999</v>
      </c>
      <c r="C160" s="21">
        <v>56214.808819999998</v>
      </c>
      <c r="D160" s="21">
        <v>1000201.3396299998</v>
      </c>
      <c r="E160" s="21">
        <v>6862.7831199999991</v>
      </c>
      <c r="F160" s="21">
        <v>1061397.4336899999</v>
      </c>
      <c r="G160" s="21">
        <v>6.8319999999999999</v>
      </c>
      <c r="H160" s="27">
        <v>0</v>
      </c>
      <c r="I160" s="21">
        <v>18125.951000000001</v>
      </c>
      <c r="J160" s="27">
        <v>0</v>
      </c>
      <c r="K160" s="12">
        <v>1079530.2166899997</v>
      </c>
      <c r="L160" s="32">
        <v>8109.168819999999</v>
      </c>
      <c r="M160" s="12">
        <v>1078283.8309899999</v>
      </c>
      <c r="N160" s="21">
        <v>314114</v>
      </c>
      <c r="O160" s="21">
        <v>26461</v>
      </c>
      <c r="P160" s="21">
        <v>287653</v>
      </c>
      <c r="Q160" s="21">
        <v>1367183.2166899997</v>
      </c>
    </row>
    <row r="161" spans="1:18" ht="12.75" x14ac:dyDescent="0.2">
      <c r="A161" s="20" t="s">
        <v>80</v>
      </c>
      <c r="B161" s="21">
        <v>11846.20959</v>
      </c>
      <c r="C161" s="21">
        <v>56212.406139999999</v>
      </c>
      <c r="D161" s="21">
        <v>798851.82383000001</v>
      </c>
      <c r="E161" s="21">
        <v>8187.13501</v>
      </c>
      <c r="F161" s="21">
        <v>858723.30455</v>
      </c>
      <c r="G161" s="21">
        <v>6.7220000000000004</v>
      </c>
      <c r="H161" s="27">
        <v>0</v>
      </c>
      <c r="I161" s="21">
        <v>18102.63</v>
      </c>
      <c r="J161" s="27">
        <v>0</v>
      </c>
      <c r="K161" s="12">
        <v>876832.65654999996</v>
      </c>
      <c r="L161" s="32">
        <v>7872.6249999999991</v>
      </c>
      <c r="M161" s="12">
        <v>877147.16655999993</v>
      </c>
      <c r="N161" s="21">
        <v>296382</v>
      </c>
      <c r="O161" s="21">
        <v>24980</v>
      </c>
      <c r="P161" s="21">
        <v>271402</v>
      </c>
      <c r="Q161" s="21">
        <v>1148234.65655</v>
      </c>
    </row>
    <row r="162" spans="1:18" ht="12.75" x14ac:dyDescent="0.2">
      <c r="A162" s="20" t="s">
        <v>92</v>
      </c>
      <c r="B162" s="21">
        <v>11790.95732</v>
      </c>
      <c r="C162" s="21">
        <v>55937.298759999998</v>
      </c>
      <c r="D162" s="21">
        <v>802582.90324000001</v>
      </c>
      <c r="E162" s="21">
        <v>7644.5639900000006</v>
      </c>
      <c r="F162" s="21">
        <v>862666.59532999992</v>
      </c>
      <c r="G162" s="21">
        <v>0.93100000000000005</v>
      </c>
      <c r="H162" s="27">
        <v>0</v>
      </c>
      <c r="I162" s="21">
        <v>18165.82</v>
      </c>
      <c r="J162" s="27">
        <v>0</v>
      </c>
      <c r="K162" s="12">
        <v>880833.34632999985</v>
      </c>
      <c r="L162" s="32">
        <v>7720.0244000000002</v>
      </c>
      <c r="M162" s="12">
        <v>880757.88591999991</v>
      </c>
      <c r="N162" s="21">
        <v>286170</v>
      </c>
      <c r="O162" s="21">
        <v>37238</v>
      </c>
      <c r="P162" s="21">
        <v>248932</v>
      </c>
      <c r="Q162" s="21">
        <v>1129765.3463299999</v>
      </c>
    </row>
    <row r="163" spans="1:18" ht="12.75" x14ac:dyDescent="0.2">
      <c r="A163" s="20" t="s">
        <v>93</v>
      </c>
      <c r="B163" s="21">
        <v>11577.11355</v>
      </c>
      <c r="C163" s="21">
        <v>54949.930799999995</v>
      </c>
      <c r="D163" s="21">
        <v>786228.7989800002</v>
      </c>
      <c r="E163" s="21">
        <v>7090.0566600000002</v>
      </c>
      <c r="F163" s="21">
        <v>845665.78667000018</v>
      </c>
      <c r="G163" s="21">
        <v>0.91100000000000003</v>
      </c>
      <c r="H163" s="27">
        <v>0</v>
      </c>
      <c r="I163" s="21">
        <v>18116.05</v>
      </c>
      <c r="J163" s="27">
        <v>0</v>
      </c>
      <c r="K163" s="12">
        <v>863782.74767000019</v>
      </c>
      <c r="L163" s="32">
        <v>7913.6321199999993</v>
      </c>
      <c r="M163" s="12">
        <v>862959.17221000022</v>
      </c>
      <c r="N163" s="21">
        <v>308654</v>
      </c>
      <c r="O163" s="21">
        <v>49577</v>
      </c>
      <c r="P163" s="21">
        <v>259077</v>
      </c>
      <c r="Q163" s="21">
        <v>1122859.7476700002</v>
      </c>
    </row>
    <row r="164" spans="1:18" ht="12.75" x14ac:dyDescent="0.2">
      <c r="A164" s="20" t="s">
        <v>81</v>
      </c>
      <c r="B164" s="21">
        <v>11694.222589999999</v>
      </c>
      <c r="C164" s="21">
        <v>55492.954669999999</v>
      </c>
      <c r="D164" s="21">
        <v>797213.01579000009</v>
      </c>
      <c r="E164" s="21">
        <v>7664.9922400000005</v>
      </c>
      <c r="F164" s="21">
        <v>856735.20081000007</v>
      </c>
      <c r="G164" s="21">
        <v>0.88900000000000001</v>
      </c>
      <c r="H164" s="27">
        <v>0</v>
      </c>
      <c r="I164" s="21">
        <v>18082.23</v>
      </c>
      <c r="J164" s="27">
        <v>0</v>
      </c>
      <c r="K164" s="12">
        <v>874818.31981000002</v>
      </c>
      <c r="L164" s="32">
        <v>8224.7948599999982</v>
      </c>
      <c r="M164" s="12">
        <v>874258.51719000004</v>
      </c>
      <c r="N164" s="21">
        <v>309356</v>
      </c>
      <c r="O164" s="21">
        <v>34121</v>
      </c>
      <c r="P164" s="21">
        <v>275235</v>
      </c>
      <c r="Q164" s="21">
        <v>1150053.31981</v>
      </c>
    </row>
    <row r="165" spans="1:18" ht="12.75" x14ac:dyDescent="0.2">
      <c r="A165" s="24">
        <v>2016</v>
      </c>
      <c r="B165" s="21"/>
      <c r="C165" s="21"/>
      <c r="D165" s="21"/>
      <c r="E165" s="21"/>
      <c r="F165" s="21"/>
      <c r="G165" s="21"/>
      <c r="H165" s="31"/>
      <c r="I165" s="21"/>
      <c r="J165" s="28"/>
      <c r="K165" s="12"/>
      <c r="L165" s="30"/>
      <c r="M165" s="12"/>
      <c r="N165" s="21"/>
      <c r="O165" s="21"/>
      <c r="P165" s="21"/>
      <c r="Q165" s="21"/>
    </row>
    <row r="166" spans="1:18" ht="12.75" x14ac:dyDescent="0.2">
      <c r="A166" s="20" t="s">
        <v>86</v>
      </c>
      <c r="B166" s="21">
        <v>11652.888849999999</v>
      </c>
      <c r="C166" s="21">
        <v>55283.514040000002</v>
      </c>
      <c r="D166" s="21">
        <v>808965.61786</v>
      </c>
      <c r="E166" s="21">
        <v>7630.5580099999997</v>
      </c>
      <c r="F166" s="21">
        <v>868271.46273999999</v>
      </c>
      <c r="G166" s="21">
        <v>0.88900000000000001</v>
      </c>
      <c r="H166" s="27">
        <v>0</v>
      </c>
      <c r="I166" s="21">
        <v>18344</v>
      </c>
      <c r="J166" s="27">
        <v>0</v>
      </c>
      <c r="K166" s="12">
        <v>886616.35173999995</v>
      </c>
      <c r="L166" s="30">
        <v>8343.1618399999988</v>
      </c>
      <c r="M166" s="12">
        <v>885903.74791000003</v>
      </c>
      <c r="N166" s="21">
        <v>304807</v>
      </c>
      <c r="O166" s="21">
        <v>48793</v>
      </c>
      <c r="P166" s="21">
        <v>256014</v>
      </c>
      <c r="Q166" s="21">
        <v>1142630.3517399998</v>
      </c>
      <c r="R166" s="23"/>
    </row>
    <row r="167" spans="1:18" ht="12.75" x14ac:dyDescent="0.2">
      <c r="A167" s="20" t="s">
        <v>87</v>
      </c>
      <c r="B167" s="21">
        <v>17110.632300000001</v>
      </c>
      <c r="C167" s="21">
        <v>55317.686240000003</v>
      </c>
      <c r="D167" s="21">
        <v>785218.16560000007</v>
      </c>
      <c r="E167" s="21">
        <v>7286.71227</v>
      </c>
      <c r="F167" s="21">
        <v>850359.77187000006</v>
      </c>
      <c r="G167" s="21">
        <v>0.88900000000000001</v>
      </c>
      <c r="H167" s="27">
        <v>0</v>
      </c>
      <c r="I167" s="21">
        <v>18473</v>
      </c>
      <c r="J167" s="27">
        <v>0</v>
      </c>
      <c r="K167" s="12">
        <v>868833.66087000002</v>
      </c>
      <c r="L167" s="30">
        <v>7643.9187199999988</v>
      </c>
      <c r="M167" s="12">
        <v>868476.45442000008</v>
      </c>
      <c r="N167" s="21">
        <v>265366</v>
      </c>
      <c r="O167" s="21">
        <v>12167</v>
      </c>
      <c r="P167" s="21">
        <v>253199</v>
      </c>
      <c r="Q167" s="21">
        <v>1122032.66087</v>
      </c>
      <c r="R167" s="23"/>
    </row>
    <row r="168" spans="1:18" ht="12.75" x14ac:dyDescent="0.2">
      <c r="A168" s="20" t="s">
        <v>78</v>
      </c>
      <c r="B168" s="21">
        <v>17454.265449999999</v>
      </c>
      <c r="C168" s="21">
        <v>56419.386469999998</v>
      </c>
      <c r="D168" s="21">
        <v>798922.54523999989</v>
      </c>
      <c r="E168" s="21">
        <v>8393.0858499999995</v>
      </c>
      <c r="F168" s="21">
        <v>864403.11130999983</v>
      </c>
      <c r="G168" s="21">
        <v>0.88900000000000001</v>
      </c>
      <c r="H168" s="27">
        <v>0</v>
      </c>
      <c r="I168" s="21">
        <v>18506</v>
      </c>
      <c r="J168" s="27">
        <v>0</v>
      </c>
      <c r="K168" s="12">
        <v>882910.0003099998</v>
      </c>
      <c r="L168" s="30">
        <v>6596.8762800000004</v>
      </c>
      <c r="M168" s="12">
        <v>884706.20987999986</v>
      </c>
      <c r="N168" s="21">
        <v>303860</v>
      </c>
      <c r="O168" s="21">
        <v>16268</v>
      </c>
      <c r="P168" s="21">
        <v>287592</v>
      </c>
      <c r="Q168" s="21">
        <v>1170502.0003099998</v>
      </c>
      <c r="R168" s="23"/>
    </row>
    <row r="169" spans="1:18" ht="12.75" x14ac:dyDescent="0.2">
      <c r="A169" s="20" t="s">
        <v>88</v>
      </c>
      <c r="B169" s="21">
        <v>17562.393989999997</v>
      </c>
      <c r="C169" s="21">
        <v>56760.188689999995</v>
      </c>
      <c r="D169" s="21">
        <v>801208.23972000007</v>
      </c>
      <c r="E169" s="21">
        <v>7133.5236299999997</v>
      </c>
      <c r="F169" s="21">
        <v>868397.29877000011</v>
      </c>
      <c r="G169" s="21">
        <v>0.88900000000000001</v>
      </c>
      <c r="H169" s="27">
        <v>0</v>
      </c>
      <c r="I169" s="21">
        <v>18464</v>
      </c>
      <c r="J169" s="27">
        <v>0</v>
      </c>
      <c r="K169" s="12">
        <v>886862.18777000008</v>
      </c>
      <c r="L169" s="30">
        <v>6872.4278400000003</v>
      </c>
      <c r="M169" s="12">
        <v>887123.28356000001</v>
      </c>
      <c r="N169" s="21">
        <v>309833</v>
      </c>
      <c r="O169" s="21">
        <v>13916</v>
      </c>
      <c r="P169" s="21">
        <v>295917</v>
      </c>
      <c r="Q169" s="21">
        <v>1182779.1877700002</v>
      </c>
      <c r="R169" s="23"/>
    </row>
    <row r="170" spans="1:18" ht="12.75" x14ac:dyDescent="0.2">
      <c r="A170" s="20" t="s">
        <v>89</v>
      </c>
      <c r="B170" s="21">
        <v>17377.917869999997</v>
      </c>
      <c r="C170" s="21">
        <v>56182.212770000006</v>
      </c>
      <c r="D170" s="21">
        <v>801922.04870000004</v>
      </c>
      <c r="E170" s="21">
        <v>8901.2537100000009</v>
      </c>
      <c r="F170" s="21">
        <v>866580.92563000007</v>
      </c>
      <c r="G170" s="21">
        <v>0.88900000000000001</v>
      </c>
      <c r="H170" s="27">
        <v>0</v>
      </c>
      <c r="I170" s="21">
        <v>18480</v>
      </c>
      <c r="J170" s="27">
        <v>0</v>
      </c>
      <c r="K170" s="12">
        <v>885061.81463000004</v>
      </c>
      <c r="L170" s="30">
        <v>7017.3060399999995</v>
      </c>
      <c r="M170" s="12">
        <v>886945.76229999994</v>
      </c>
      <c r="N170" s="21">
        <v>318142</v>
      </c>
      <c r="O170" s="21">
        <v>24387</v>
      </c>
      <c r="P170" s="21">
        <v>293755</v>
      </c>
      <c r="Q170" s="21">
        <v>1178816.8146299999</v>
      </c>
      <c r="R170" s="23"/>
    </row>
    <row r="171" spans="1:18" ht="12.75" x14ac:dyDescent="0.2">
      <c r="A171" s="20" t="s">
        <v>79</v>
      </c>
      <c r="B171" s="21">
        <v>17330.875820000001</v>
      </c>
      <c r="C171" s="21">
        <v>56020.820270000004</v>
      </c>
      <c r="D171" s="21">
        <v>805037.70099999988</v>
      </c>
      <c r="E171" s="21">
        <v>7253.7344699999994</v>
      </c>
      <c r="F171" s="21">
        <v>871135.66261999984</v>
      </c>
      <c r="G171" s="21">
        <v>0.88900000000000001</v>
      </c>
      <c r="H171" s="27">
        <v>0</v>
      </c>
      <c r="I171" s="21">
        <v>18784</v>
      </c>
      <c r="J171" s="27">
        <v>0</v>
      </c>
      <c r="K171" s="12">
        <v>889920.55161999981</v>
      </c>
      <c r="L171" s="30">
        <v>7241.615319999999</v>
      </c>
      <c r="M171" s="12">
        <v>889932.67076999985</v>
      </c>
      <c r="N171" s="21">
        <v>303762</v>
      </c>
      <c r="O171" s="21">
        <v>8878</v>
      </c>
      <c r="P171" s="21">
        <v>294884</v>
      </c>
      <c r="Q171" s="21">
        <v>1184804.5516199998</v>
      </c>
      <c r="R171" s="23"/>
    </row>
    <row r="172" spans="1:18" ht="12.75" x14ac:dyDescent="0.2">
      <c r="A172" s="20" t="s">
        <v>90</v>
      </c>
      <c r="B172" s="21">
        <v>17266.3161</v>
      </c>
      <c r="C172" s="21">
        <v>55802.559930000003</v>
      </c>
      <c r="D172" s="21">
        <v>789859.60585000017</v>
      </c>
      <c r="E172" s="21">
        <v>7609.72984</v>
      </c>
      <c r="F172" s="21">
        <v>855318.75204000017</v>
      </c>
      <c r="G172" s="21">
        <v>0.88900000000000001</v>
      </c>
      <c r="H172" s="27">
        <v>0</v>
      </c>
      <c r="I172" s="21">
        <v>18805</v>
      </c>
      <c r="J172" s="27">
        <v>0</v>
      </c>
      <c r="K172" s="12">
        <v>874124.64104000013</v>
      </c>
      <c r="L172" s="30">
        <v>7338.2181599999994</v>
      </c>
      <c r="M172" s="12">
        <v>874396.15272000013</v>
      </c>
      <c r="N172" s="21">
        <v>276419</v>
      </c>
      <c r="O172" s="21">
        <v>11382</v>
      </c>
      <c r="P172" s="21">
        <v>265037</v>
      </c>
      <c r="Q172" s="21">
        <v>1139161.6410400001</v>
      </c>
      <c r="R172" s="23"/>
    </row>
    <row r="173" spans="1:18" ht="12.75" x14ac:dyDescent="0.2">
      <c r="A173" s="20" t="s">
        <v>91</v>
      </c>
      <c r="B173" s="21">
        <v>17272.14414</v>
      </c>
      <c r="C173" s="21">
        <v>55842.697909999995</v>
      </c>
      <c r="D173" s="21">
        <v>788712.93465000018</v>
      </c>
      <c r="E173" s="21">
        <v>8544.2531199999994</v>
      </c>
      <c r="F173" s="21">
        <v>853283.52358000015</v>
      </c>
      <c r="G173" s="21">
        <v>0.88900000000000001</v>
      </c>
      <c r="H173" s="27">
        <v>0</v>
      </c>
      <c r="I173" s="21">
        <v>18735</v>
      </c>
      <c r="J173" s="27">
        <v>0</v>
      </c>
      <c r="K173" s="12">
        <v>872019.41258000012</v>
      </c>
      <c r="L173" s="30">
        <v>6451.7608599999994</v>
      </c>
      <c r="M173" s="12">
        <v>874111.90484000009</v>
      </c>
      <c r="N173" s="21">
        <v>274234</v>
      </c>
      <c r="O173" s="21">
        <v>11996</v>
      </c>
      <c r="P173" s="21">
        <v>262238</v>
      </c>
      <c r="Q173" s="21">
        <v>1134257.4125800002</v>
      </c>
      <c r="R173" s="23"/>
    </row>
    <row r="174" spans="1:18" ht="12.75" x14ac:dyDescent="0.2">
      <c r="A174" s="20" t="s">
        <v>80</v>
      </c>
      <c r="B174" s="21">
        <v>17293.258280000002</v>
      </c>
      <c r="C174" s="21">
        <v>55901.710930000001</v>
      </c>
      <c r="D174" s="21">
        <v>786432.62043000001</v>
      </c>
      <c r="E174" s="21">
        <v>7615.1815199999992</v>
      </c>
      <c r="F174" s="21">
        <v>852012.40812000004</v>
      </c>
      <c r="G174" s="21">
        <v>0.88900000000000001</v>
      </c>
      <c r="H174" s="27">
        <v>0</v>
      </c>
      <c r="I174" s="21">
        <v>18765</v>
      </c>
      <c r="J174" s="27">
        <v>0</v>
      </c>
      <c r="K174" s="12">
        <v>870778.29712</v>
      </c>
      <c r="L174" s="30">
        <v>6199.7196599999988</v>
      </c>
      <c r="M174" s="12">
        <v>872193.75898000004</v>
      </c>
      <c r="N174" s="21">
        <v>252341</v>
      </c>
      <c r="O174" s="21">
        <v>13633</v>
      </c>
      <c r="P174" s="21">
        <v>238708</v>
      </c>
      <c r="Q174" s="21">
        <v>1109486.29712</v>
      </c>
      <c r="R174" s="23"/>
    </row>
    <row r="175" spans="1:18" ht="12.75" x14ac:dyDescent="0.2">
      <c r="A175" s="20" t="s">
        <v>92</v>
      </c>
      <c r="B175" s="21">
        <v>17027.845859999998</v>
      </c>
      <c r="C175" s="21">
        <v>55022.08251</v>
      </c>
      <c r="D175" s="21">
        <v>649374.43215000012</v>
      </c>
      <c r="E175" s="21">
        <v>10398.186180000001</v>
      </c>
      <c r="F175" s="21">
        <v>711026.17434000014</v>
      </c>
      <c r="G175" s="21">
        <v>0.88900000000000001</v>
      </c>
      <c r="H175" s="27">
        <v>0</v>
      </c>
      <c r="I175" s="21">
        <v>18560</v>
      </c>
      <c r="J175" s="27">
        <v>0</v>
      </c>
      <c r="K175" s="12">
        <v>729587.06334000011</v>
      </c>
      <c r="L175" s="30">
        <v>6365.7063799999996</v>
      </c>
      <c r="M175" s="12">
        <v>733619.54314000008</v>
      </c>
      <c r="N175" s="21">
        <v>254819</v>
      </c>
      <c r="O175" s="21">
        <v>12169</v>
      </c>
      <c r="P175" s="21">
        <v>242650</v>
      </c>
      <c r="Q175" s="21">
        <v>972237.06334000011</v>
      </c>
      <c r="R175" s="23"/>
    </row>
    <row r="176" spans="1:18" ht="12.75" x14ac:dyDescent="0.2">
      <c r="A176" s="20" t="s">
        <v>93</v>
      </c>
      <c r="B176" s="21">
        <v>16776.61159</v>
      </c>
      <c r="C176" s="21">
        <v>54220.968799999995</v>
      </c>
      <c r="D176" s="21">
        <v>662570.14737000014</v>
      </c>
      <c r="E176" s="21">
        <v>7481.7187699999995</v>
      </c>
      <c r="F176" s="21">
        <v>726086.00899000012</v>
      </c>
      <c r="G176" s="21">
        <v>0.88900000000000001</v>
      </c>
      <c r="H176" s="27">
        <v>0</v>
      </c>
      <c r="I176" s="21">
        <v>18173</v>
      </c>
      <c r="J176" s="27">
        <v>0</v>
      </c>
      <c r="K176" s="12">
        <v>744259.89799000008</v>
      </c>
      <c r="L176" s="30">
        <v>6468.0292799999988</v>
      </c>
      <c r="M176" s="12">
        <v>745273.5874800001</v>
      </c>
      <c r="N176" s="21">
        <v>241873</v>
      </c>
      <c r="O176" s="21">
        <v>21704</v>
      </c>
      <c r="P176" s="21">
        <v>220169</v>
      </c>
      <c r="Q176" s="21">
        <v>964428.89799000008</v>
      </c>
      <c r="R176" s="23"/>
    </row>
    <row r="177" spans="1:18" ht="12.75" x14ac:dyDescent="0.2">
      <c r="A177" s="20" t="s">
        <v>81</v>
      </c>
      <c r="B177" s="21">
        <v>16674.196120000001</v>
      </c>
      <c r="C177" s="21">
        <v>53843.357340000002</v>
      </c>
      <c r="D177" s="21">
        <v>670557.73710999987</v>
      </c>
      <c r="E177" s="21">
        <v>7218.5130499999996</v>
      </c>
      <c r="F177" s="21">
        <v>733856.77751999989</v>
      </c>
      <c r="G177" s="21">
        <v>0.88900000000000001</v>
      </c>
      <c r="H177" s="27">
        <v>0</v>
      </c>
      <c r="I177" s="21">
        <v>18167</v>
      </c>
      <c r="J177" s="27">
        <v>0</v>
      </c>
      <c r="K177" s="12">
        <v>752024.66651999985</v>
      </c>
      <c r="L177" s="30">
        <v>6415.1462599999995</v>
      </c>
      <c r="M177" s="12">
        <v>752828.03330999985</v>
      </c>
      <c r="N177" s="21">
        <v>251674</v>
      </c>
      <c r="O177" s="21">
        <v>17216</v>
      </c>
      <c r="P177" s="21">
        <v>234458</v>
      </c>
      <c r="Q177" s="21">
        <v>986482.66651999985</v>
      </c>
      <c r="R177" s="23"/>
    </row>
    <row r="178" spans="1:18" ht="12.75" x14ac:dyDescent="0.2">
      <c r="A178" s="24">
        <v>2017</v>
      </c>
    </row>
    <row r="179" spans="1:18" ht="12.75" x14ac:dyDescent="0.2">
      <c r="A179" s="20" t="s">
        <v>86</v>
      </c>
      <c r="B179" s="21">
        <v>16872.040829999998</v>
      </c>
      <c r="C179" s="21">
        <v>54423.973010000002</v>
      </c>
      <c r="D179" s="21">
        <v>666884.51926999993</v>
      </c>
      <c r="E179" s="21">
        <v>7658.6569600000003</v>
      </c>
      <c r="F179" s="21">
        <v>730521.87614999991</v>
      </c>
      <c r="G179" s="21">
        <v>0.88900000000000001</v>
      </c>
      <c r="H179" s="27">
        <v>0</v>
      </c>
      <c r="I179" s="21">
        <v>18177</v>
      </c>
      <c r="J179" s="27">
        <v>0</v>
      </c>
      <c r="K179" s="12">
        <v>748699.76514999988</v>
      </c>
      <c r="L179" s="30">
        <v>6229.8412400000007</v>
      </c>
      <c r="M179" s="12">
        <v>750128.58086999995</v>
      </c>
      <c r="N179" s="21">
        <v>256954</v>
      </c>
      <c r="O179" s="21">
        <v>8717</v>
      </c>
      <c r="P179" s="21">
        <v>248237</v>
      </c>
      <c r="Q179" s="21">
        <v>996936.76514999988</v>
      </c>
    </row>
    <row r="180" spans="1:18" ht="12.75" x14ac:dyDescent="0.2">
      <c r="A180" s="20" t="s">
        <v>87</v>
      </c>
      <c r="B180" s="21">
        <v>16784.714390000001</v>
      </c>
      <c r="C180" s="21">
        <v>54238.71256</v>
      </c>
      <c r="D180" s="21">
        <v>678407.60687999986</v>
      </c>
      <c r="E180" s="21">
        <v>8954.6379499999985</v>
      </c>
      <c r="F180" s="21">
        <v>740476.39587999985</v>
      </c>
      <c r="G180" s="21">
        <v>0.88900000000000001</v>
      </c>
      <c r="H180" s="27">
        <v>0</v>
      </c>
      <c r="I180" s="21">
        <v>18217</v>
      </c>
      <c r="J180" s="27">
        <v>0</v>
      </c>
      <c r="K180" s="12">
        <v>758694.28487999982</v>
      </c>
      <c r="L180" s="30">
        <v>5456.8492799999995</v>
      </c>
      <c r="M180" s="12">
        <v>762192.07354999986</v>
      </c>
      <c r="N180" s="21">
        <v>260257</v>
      </c>
      <c r="O180" s="21">
        <v>14192</v>
      </c>
      <c r="P180" s="21">
        <v>246065</v>
      </c>
      <c r="Q180" s="21">
        <v>1004759.2848799998</v>
      </c>
    </row>
    <row r="181" spans="1:18" ht="12.75" x14ac:dyDescent="0.2">
      <c r="A181" s="20" t="s">
        <v>78</v>
      </c>
      <c r="B181" s="21">
        <v>16842.2317</v>
      </c>
      <c r="C181" s="21">
        <v>54357.193899999998</v>
      </c>
      <c r="D181" s="21">
        <v>666087.32172999985</v>
      </c>
      <c r="E181" s="21">
        <v>9448.6443500000005</v>
      </c>
      <c r="F181" s="21">
        <v>727838.10297999985</v>
      </c>
      <c r="G181" s="21">
        <v>0.88900000000000001</v>
      </c>
      <c r="H181" s="27">
        <v>0</v>
      </c>
      <c r="I181" s="21">
        <v>18243</v>
      </c>
      <c r="J181" s="27">
        <v>0</v>
      </c>
      <c r="K181" s="15">
        <v>746081.99197999982</v>
      </c>
      <c r="L181" s="30">
        <v>5589.1999399999995</v>
      </c>
      <c r="M181" s="12">
        <v>749941.43638999981</v>
      </c>
      <c r="N181" s="21">
        <v>252402</v>
      </c>
      <c r="O181" s="21">
        <v>25826</v>
      </c>
      <c r="P181" s="21">
        <v>226576</v>
      </c>
      <c r="Q181" s="21">
        <v>972657.99197999982</v>
      </c>
    </row>
    <row r="182" spans="1:18" ht="12.75" x14ac:dyDescent="0.2">
      <c r="A182" s="20" t="s">
        <v>88</v>
      </c>
      <c r="B182" s="21">
        <v>17044.66286</v>
      </c>
      <c r="C182" s="21">
        <v>54925.002930000002</v>
      </c>
      <c r="D182" s="21">
        <v>663731.59619999991</v>
      </c>
      <c r="E182" s="21">
        <v>7336.4215100000001</v>
      </c>
      <c r="F182" s="21">
        <v>728364.8404799999</v>
      </c>
      <c r="G182" s="21">
        <v>1</v>
      </c>
      <c r="H182" s="27">
        <v>0</v>
      </c>
      <c r="I182" s="21">
        <v>18305</v>
      </c>
      <c r="J182" s="27">
        <v>0</v>
      </c>
      <c r="K182" s="15">
        <v>746670.8404799999</v>
      </c>
      <c r="L182" s="30">
        <v>5837.6108199999981</v>
      </c>
      <c r="M182" s="12">
        <v>748169.65116999997</v>
      </c>
      <c r="N182" s="21">
        <v>262400</v>
      </c>
      <c r="O182" s="21">
        <v>14468</v>
      </c>
      <c r="P182" s="21">
        <v>247932</v>
      </c>
      <c r="Q182" s="21">
        <v>994602.8404799999</v>
      </c>
    </row>
    <row r="183" spans="1:18" ht="12.75" x14ac:dyDescent="0.2">
      <c r="A183" s="20" t="s">
        <v>89</v>
      </c>
      <c r="B183" s="21">
        <v>17175.537869999996</v>
      </c>
      <c r="C183" s="21">
        <v>55475.198149999997</v>
      </c>
      <c r="D183" s="21">
        <v>716887.92639000004</v>
      </c>
      <c r="E183" s="21">
        <v>4194.5624299999999</v>
      </c>
      <c r="F183" s="21">
        <v>785344.09997999994</v>
      </c>
      <c r="G183" s="21">
        <v>1</v>
      </c>
      <c r="H183" s="27">
        <v>0</v>
      </c>
      <c r="I183" s="21">
        <v>18388</v>
      </c>
      <c r="J183" s="27">
        <v>0</v>
      </c>
      <c r="K183" s="12">
        <v>803733.09997999994</v>
      </c>
      <c r="L183" s="30">
        <v>6094.3021199999994</v>
      </c>
      <c r="M183" s="12">
        <v>801833.36028999998</v>
      </c>
      <c r="N183" s="21">
        <v>265103</v>
      </c>
      <c r="O183" s="21">
        <v>10250</v>
      </c>
      <c r="P183" s="21">
        <v>254853</v>
      </c>
      <c r="Q183" s="21">
        <v>1058586.0999799999</v>
      </c>
    </row>
    <row r="184" spans="1:18" ht="12.75" x14ac:dyDescent="0.2">
      <c r="A184" s="20" t="s">
        <v>79</v>
      </c>
      <c r="B184" s="21">
        <v>17297.874110000001</v>
      </c>
      <c r="C184" s="21">
        <v>55758.42093</v>
      </c>
      <c r="D184" s="21">
        <v>719730.19327000005</v>
      </c>
      <c r="E184" s="21">
        <v>4462.0424999999996</v>
      </c>
      <c r="F184" s="21">
        <v>788324.44581000006</v>
      </c>
      <c r="G184" s="21">
        <v>1</v>
      </c>
      <c r="H184" s="27">
        <v>0</v>
      </c>
      <c r="I184" s="21">
        <v>18395</v>
      </c>
      <c r="J184" s="27">
        <v>0</v>
      </c>
      <c r="K184" s="12">
        <v>806720.44581000006</v>
      </c>
      <c r="L184" s="30">
        <v>6342.713099999999</v>
      </c>
      <c r="M184" s="12">
        <v>804839.77520999999</v>
      </c>
      <c r="N184" s="21">
        <v>265581</v>
      </c>
      <c r="O184" s="21">
        <v>16462</v>
      </c>
      <c r="P184" s="21">
        <v>249119</v>
      </c>
      <c r="Q184" s="21">
        <v>1055839.4458099999</v>
      </c>
    </row>
    <row r="185" spans="1:18" ht="12.75" x14ac:dyDescent="0.2">
      <c r="A185" s="20" t="s">
        <v>90</v>
      </c>
      <c r="B185" s="21">
        <v>17538.373339999998</v>
      </c>
      <c r="C185" s="21">
        <v>56414.091189999999</v>
      </c>
      <c r="D185" s="21">
        <v>682016.3153400002</v>
      </c>
      <c r="E185" s="21">
        <v>5108.0439700000006</v>
      </c>
      <c r="F185" s="21">
        <v>750860.7359000002</v>
      </c>
      <c r="G185" s="21">
        <v>0.88900000000000001</v>
      </c>
      <c r="H185" s="27">
        <v>0</v>
      </c>
      <c r="I185" s="21">
        <v>18381</v>
      </c>
      <c r="J185" s="27">
        <v>0</v>
      </c>
      <c r="K185" s="12">
        <v>769242.62490000017</v>
      </c>
      <c r="L185" s="30">
        <v>6357.9107999999997</v>
      </c>
      <c r="M185" s="12">
        <v>767992.75807000021</v>
      </c>
      <c r="N185" s="21">
        <v>250675</v>
      </c>
      <c r="O185" s="21">
        <v>9354</v>
      </c>
      <c r="P185" s="21">
        <v>241321</v>
      </c>
      <c r="Q185" s="21">
        <v>1010563.6249000002</v>
      </c>
    </row>
    <row r="186" spans="1:18" ht="12.75" x14ac:dyDescent="0.2">
      <c r="A186" s="20" t="s">
        <v>91</v>
      </c>
      <c r="B186" s="21">
        <v>17549.596659999999</v>
      </c>
      <c r="C186" s="21">
        <v>56670.533259999997</v>
      </c>
      <c r="D186" s="21">
        <v>655311.65136000002</v>
      </c>
      <c r="E186" s="21">
        <v>4016.8234400000006</v>
      </c>
      <c r="F186" s="21">
        <v>725514.95784000005</v>
      </c>
      <c r="G186" s="21">
        <v>0.88900000000000001</v>
      </c>
      <c r="H186" s="27">
        <v>0</v>
      </c>
      <c r="I186" s="21">
        <v>18526</v>
      </c>
      <c r="J186" s="27">
        <v>0</v>
      </c>
      <c r="K186" s="12">
        <v>744041.84684000001</v>
      </c>
      <c r="L186" s="30">
        <v>5218.2262199999996</v>
      </c>
      <c r="M186" s="12">
        <v>742840.44406000001</v>
      </c>
      <c r="N186" s="21">
        <v>223424</v>
      </c>
      <c r="O186" s="21">
        <v>12208</v>
      </c>
      <c r="P186" s="21">
        <v>211216</v>
      </c>
      <c r="Q186" s="21">
        <v>955257.84684000001</v>
      </c>
    </row>
    <row r="187" spans="1:18" ht="12.75" x14ac:dyDescent="0.2">
      <c r="A187" s="20" t="s">
        <v>80</v>
      </c>
      <c r="B187" s="21">
        <v>17580.745910000001</v>
      </c>
      <c r="C187" s="21">
        <v>56666.764280000003</v>
      </c>
      <c r="D187" s="21">
        <v>663103.54012000002</v>
      </c>
      <c r="E187" s="21">
        <v>4196.7040299999999</v>
      </c>
      <c r="F187" s="21">
        <v>733154.34628000006</v>
      </c>
      <c r="G187" s="21">
        <v>0.95199999999999996</v>
      </c>
      <c r="H187" s="27">
        <v>0</v>
      </c>
      <c r="I187" s="21">
        <v>18443</v>
      </c>
      <c r="J187" s="27">
        <v>0</v>
      </c>
      <c r="K187" s="12">
        <v>751598.2982800001</v>
      </c>
      <c r="L187" s="30">
        <v>5478.7956800000011</v>
      </c>
      <c r="M187" s="12">
        <v>750316.20663000015</v>
      </c>
      <c r="N187" s="21">
        <v>205962</v>
      </c>
      <c r="O187" s="21">
        <v>8859</v>
      </c>
      <c r="P187" s="21">
        <v>197103</v>
      </c>
      <c r="Q187" s="21">
        <v>948701.2982800001</v>
      </c>
    </row>
    <row r="188" spans="1:18" ht="12.75" x14ac:dyDescent="0.2">
      <c r="A188" s="20" t="s">
        <v>92</v>
      </c>
      <c r="B188" s="21">
        <v>17509.57675</v>
      </c>
      <c r="C188" s="21">
        <v>56321.562229999996</v>
      </c>
      <c r="D188" s="21">
        <v>673591.81893000007</v>
      </c>
      <c r="E188" s="21">
        <v>2568.34593</v>
      </c>
      <c r="F188" s="21">
        <v>744854.61198000016</v>
      </c>
      <c r="G188" s="21">
        <v>0.93799999999999994</v>
      </c>
      <c r="H188" s="27">
        <v>0</v>
      </c>
      <c r="I188" s="21">
        <v>18422</v>
      </c>
      <c r="J188" s="27">
        <v>0</v>
      </c>
      <c r="K188" s="12">
        <v>763277.54998000013</v>
      </c>
      <c r="L188" s="30">
        <v>5748.050760000001</v>
      </c>
      <c r="M188" s="12">
        <v>760097.84515000007</v>
      </c>
      <c r="N188" s="21">
        <v>204918</v>
      </c>
      <c r="O188" s="21">
        <v>9890</v>
      </c>
      <c r="P188" s="21">
        <v>195028</v>
      </c>
      <c r="Q188" s="21">
        <v>958305.54998000013</v>
      </c>
    </row>
    <row r="189" spans="1:18" ht="12.75" x14ac:dyDescent="0.2">
      <c r="A189" s="20" t="s">
        <v>93</v>
      </c>
      <c r="B189" s="21">
        <v>17570.94526</v>
      </c>
      <c r="C189" s="21">
        <v>56781.950240000006</v>
      </c>
      <c r="D189" s="21">
        <v>522655.83249</v>
      </c>
      <c r="E189" s="21">
        <v>1201.28882</v>
      </c>
      <c r="F189" s="21">
        <v>595807.43917000003</v>
      </c>
      <c r="G189" s="21">
        <v>0.95899999999999996</v>
      </c>
      <c r="H189" s="27">
        <v>0</v>
      </c>
      <c r="I189" s="21">
        <v>18440</v>
      </c>
      <c r="J189" s="27">
        <v>0</v>
      </c>
      <c r="K189" s="12">
        <v>614248.39817000006</v>
      </c>
      <c r="L189" s="30">
        <v>6008.6202000000003</v>
      </c>
      <c r="M189" s="12">
        <v>609441.06679000007</v>
      </c>
      <c r="N189" s="21">
        <v>211097</v>
      </c>
      <c r="O189" s="21">
        <v>8920</v>
      </c>
      <c r="P189" s="21">
        <v>202177</v>
      </c>
      <c r="Q189" s="21">
        <v>816425.39817000006</v>
      </c>
    </row>
    <row r="190" spans="1:18" ht="12.75" x14ac:dyDescent="0.2">
      <c r="A190" s="20" t="s">
        <v>81</v>
      </c>
      <c r="B190" s="21">
        <v>17724.578080000003</v>
      </c>
      <c r="C190" s="21">
        <v>57131.607710000004</v>
      </c>
      <c r="D190" s="21">
        <v>537012.56377999997</v>
      </c>
      <c r="E190" s="21">
        <v>1771.8226000000002</v>
      </c>
      <c r="F190" s="21">
        <v>610096.92697000003</v>
      </c>
      <c r="G190" s="21">
        <v>0.96299999999999997</v>
      </c>
      <c r="H190" s="27">
        <v>0</v>
      </c>
      <c r="I190" s="21">
        <v>18497</v>
      </c>
      <c r="J190" s="27">
        <v>0</v>
      </c>
      <c r="K190" s="12">
        <v>628594.88997000002</v>
      </c>
      <c r="L190" s="30">
        <v>6277.8753200000001</v>
      </c>
      <c r="M190" s="12">
        <v>624088.83724999998</v>
      </c>
      <c r="N190" s="21">
        <v>235924</v>
      </c>
      <c r="O190" s="21">
        <v>5107</v>
      </c>
      <c r="P190" s="21">
        <v>230817</v>
      </c>
      <c r="Q190" s="21">
        <v>859411.88997000002</v>
      </c>
    </row>
    <row r="191" spans="1:18" ht="12.75" x14ac:dyDescent="0.2">
      <c r="A191" s="24">
        <v>2018</v>
      </c>
    </row>
    <row r="192" spans="1:18" ht="12.75" x14ac:dyDescent="0.2">
      <c r="A192" s="20" t="s">
        <v>86</v>
      </c>
      <c r="B192" s="21">
        <v>18184.451669999999</v>
      </c>
      <c r="C192" s="21">
        <v>58454.998650000001</v>
      </c>
      <c r="D192" s="21">
        <v>527785.89078999998</v>
      </c>
      <c r="E192" s="21">
        <v>1176.60221</v>
      </c>
      <c r="F192" s="21">
        <v>603248.73889999988</v>
      </c>
      <c r="G192" s="21">
        <v>1.0089999999999999</v>
      </c>
      <c r="H192" s="27">
        <v>0</v>
      </c>
      <c r="I192" s="21">
        <v>18313</v>
      </c>
      <c r="J192" s="27">
        <v>0</v>
      </c>
      <c r="K192" s="15">
        <v>621562.74789999984</v>
      </c>
      <c r="L192" s="30">
        <v>6547.1304400000008</v>
      </c>
      <c r="M192" s="12">
        <v>616192.2196699999</v>
      </c>
      <c r="N192" s="21">
        <v>270012</v>
      </c>
      <c r="O192" s="21">
        <v>11286</v>
      </c>
      <c r="P192" s="21">
        <v>258726</v>
      </c>
      <c r="Q192" s="21">
        <v>880288.74789999984</v>
      </c>
      <c r="R192" s="41"/>
    </row>
    <row r="193" spans="1:18" ht="12.75" x14ac:dyDescent="0.2">
      <c r="A193" s="20" t="s">
        <v>87</v>
      </c>
      <c r="B193" s="21">
        <v>17952.901859999998</v>
      </c>
      <c r="C193" s="21">
        <v>58044.638100000004</v>
      </c>
      <c r="D193" s="21">
        <v>501965.07179999998</v>
      </c>
      <c r="E193" s="21">
        <v>1326.9094499999999</v>
      </c>
      <c r="F193" s="21">
        <v>576635.70230999996</v>
      </c>
      <c r="G193" s="21">
        <v>0.98399999999999999</v>
      </c>
      <c r="H193" s="27">
        <v>0</v>
      </c>
      <c r="I193" s="21">
        <v>18201</v>
      </c>
      <c r="J193" s="27">
        <v>0</v>
      </c>
      <c r="K193" s="12">
        <v>594837.68631000002</v>
      </c>
      <c r="L193" s="30">
        <v>4705.7023799999997</v>
      </c>
      <c r="M193" s="12">
        <v>591458.89338000002</v>
      </c>
      <c r="N193" s="21">
        <v>270825</v>
      </c>
      <c r="O193" s="21">
        <v>5923</v>
      </c>
      <c r="P193" s="21">
        <v>264902</v>
      </c>
      <c r="Q193" s="21">
        <v>859739.68631000002</v>
      </c>
    </row>
    <row r="194" spans="1:18" ht="12.75" x14ac:dyDescent="0.2">
      <c r="A194" s="20" t="s">
        <v>78</v>
      </c>
      <c r="B194" s="21">
        <v>18102.121830000004</v>
      </c>
      <c r="C194" s="21">
        <v>58356.802309999999</v>
      </c>
      <c r="D194" s="21">
        <v>511265.72542000003</v>
      </c>
      <c r="E194" s="21">
        <v>2454.0201399999996</v>
      </c>
      <c r="F194" s="21">
        <v>585270.62942000001</v>
      </c>
      <c r="G194" s="21">
        <v>1.0009999999999999</v>
      </c>
      <c r="H194" s="27">
        <v>0</v>
      </c>
      <c r="I194" s="21">
        <v>18340</v>
      </c>
      <c r="J194" s="27">
        <v>0</v>
      </c>
      <c r="K194" s="12">
        <v>603611.63042000006</v>
      </c>
      <c r="L194" s="30">
        <v>4794.6662000000006</v>
      </c>
      <c r="M194" s="12">
        <v>601270.98436000012</v>
      </c>
      <c r="N194" s="21">
        <v>310805</v>
      </c>
      <c r="O194" s="21">
        <v>7461</v>
      </c>
      <c r="P194" s="21">
        <v>303344</v>
      </c>
      <c r="Q194" s="21">
        <v>906955.63042000006</v>
      </c>
    </row>
    <row r="195" spans="1:18" ht="12.75" x14ac:dyDescent="0.2">
      <c r="A195" s="20" t="s">
        <v>88</v>
      </c>
      <c r="B195" s="21">
        <v>17958.970300000001</v>
      </c>
      <c r="C195" s="21">
        <v>57730.406450000002</v>
      </c>
      <c r="D195" s="21">
        <v>505915.20506000001</v>
      </c>
      <c r="E195" s="21">
        <v>4108.1018700000004</v>
      </c>
      <c r="F195" s="21">
        <v>577496.47993999999</v>
      </c>
      <c r="G195" s="21">
        <v>0.97799999999999998</v>
      </c>
      <c r="H195" s="27">
        <v>0</v>
      </c>
      <c r="I195" s="21">
        <v>18206</v>
      </c>
      <c r="J195" s="27">
        <v>0</v>
      </c>
      <c r="K195" s="12">
        <v>595703.45793999999</v>
      </c>
      <c r="L195" s="30">
        <v>5063.7304399999994</v>
      </c>
      <c r="M195" s="12">
        <v>594747.82937000005</v>
      </c>
      <c r="N195" s="21">
        <v>322069</v>
      </c>
      <c r="O195" s="21">
        <v>10375</v>
      </c>
      <c r="P195" s="21">
        <v>311694</v>
      </c>
      <c r="Q195" s="21">
        <v>907397.45793999999</v>
      </c>
    </row>
    <row r="196" spans="1:18" ht="12.75" x14ac:dyDescent="0.2">
      <c r="A196" s="20" t="s">
        <v>89</v>
      </c>
      <c r="B196" s="21">
        <v>17601.161059999999</v>
      </c>
      <c r="C196" s="21">
        <v>56913.098520000007</v>
      </c>
      <c r="D196" s="21">
        <v>523114.52484000003</v>
      </c>
      <c r="E196" s="21">
        <v>1162.1696199999999</v>
      </c>
      <c r="F196" s="21">
        <v>596466.6148000001</v>
      </c>
      <c r="G196" s="21">
        <v>0.94599999999999995</v>
      </c>
      <c r="H196" s="27">
        <v>0</v>
      </c>
      <c r="I196" s="21">
        <v>18348</v>
      </c>
      <c r="J196" s="27">
        <v>0</v>
      </c>
      <c r="K196" s="12">
        <v>614815.56080000009</v>
      </c>
      <c r="L196" s="30">
        <v>5341.7635399999999</v>
      </c>
      <c r="M196" s="12">
        <v>610635.96688000008</v>
      </c>
      <c r="N196" s="21">
        <v>309202</v>
      </c>
      <c r="O196" s="21">
        <v>7300</v>
      </c>
      <c r="P196" s="21">
        <v>301902</v>
      </c>
      <c r="Q196" s="21">
        <v>916717.56080000009</v>
      </c>
    </row>
    <row r="197" spans="1:18" ht="12.75" x14ac:dyDescent="0.2">
      <c r="A197" s="20" t="s">
        <v>79</v>
      </c>
      <c r="B197" s="21">
        <v>17532.760240000003</v>
      </c>
      <c r="C197" s="21">
        <v>56508.180930000002</v>
      </c>
      <c r="D197" s="21">
        <v>528894.79450999992</v>
      </c>
      <c r="E197" s="21">
        <v>1940.3400200000001</v>
      </c>
      <c r="F197" s="21">
        <v>600995.39565999992</v>
      </c>
      <c r="G197" s="21">
        <v>0.93700000000000006</v>
      </c>
      <c r="H197" s="27">
        <v>0</v>
      </c>
      <c r="I197" s="21">
        <v>18393</v>
      </c>
      <c r="J197" s="27">
        <v>0</v>
      </c>
      <c r="K197" s="12">
        <v>619389.33265999996</v>
      </c>
      <c r="L197" s="30">
        <v>5611.7880400000004</v>
      </c>
      <c r="M197" s="12">
        <v>615717.88463999995</v>
      </c>
      <c r="N197" s="21">
        <v>309437</v>
      </c>
      <c r="O197" s="21">
        <v>14138</v>
      </c>
      <c r="P197" s="21">
        <v>295299</v>
      </c>
      <c r="Q197" s="21">
        <v>914688.33265999996</v>
      </c>
    </row>
    <row r="198" spans="1:18" ht="12.75" x14ac:dyDescent="0.2">
      <c r="A198" s="20" t="s">
        <v>90</v>
      </c>
      <c r="B198" s="21">
        <v>17569.340390000001</v>
      </c>
      <c r="C198" s="21">
        <v>56439.683600000004</v>
      </c>
      <c r="D198" s="21">
        <v>524060.65575999988</v>
      </c>
      <c r="E198" s="21">
        <v>1872.9017800000004</v>
      </c>
      <c r="F198" s="21">
        <v>596196.77796999994</v>
      </c>
      <c r="G198" s="21">
        <v>0.93500000000000005</v>
      </c>
      <c r="H198" s="27">
        <v>0</v>
      </c>
      <c r="I198" s="21">
        <v>18335</v>
      </c>
      <c r="J198" s="27">
        <v>0</v>
      </c>
      <c r="K198" s="12">
        <v>614532.71296999999</v>
      </c>
      <c r="L198" s="30">
        <v>5552.7307200000005</v>
      </c>
      <c r="M198" s="12">
        <v>610852.88402999996</v>
      </c>
      <c r="N198" s="21">
        <v>315889</v>
      </c>
      <c r="O198" s="21">
        <v>6489</v>
      </c>
      <c r="P198" s="21">
        <v>309400</v>
      </c>
      <c r="Q198" s="21">
        <v>923932.71296999999</v>
      </c>
    </row>
    <row r="199" spans="1:18" ht="12.75" x14ac:dyDescent="0.2">
      <c r="A199" s="20" t="s">
        <v>91</v>
      </c>
      <c r="B199" s="21">
        <v>17413.667510000003</v>
      </c>
      <c r="C199" s="21">
        <v>56349.954909999993</v>
      </c>
      <c r="D199" s="21">
        <v>499199.23186</v>
      </c>
      <c r="E199" s="21">
        <v>2276.5394099999999</v>
      </c>
      <c r="F199" s="21">
        <v>570686.31487</v>
      </c>
      <c r="G199" s="21">
        <v>0.92300000000000004</v>
      </c>
      <c r="H199" s="27">
        <v>0</v>
      </c>
      <c r="I199" s="21">
        <v>18440</v>
      </c>
      <c r="J199" s="27">
        <v>0</v>
      </c>
      <c r="K199" s="12">
        <v>589127.23786999995</v>
      </c>
      <c r="L199" s="30">
        <v>3066.1369199999999</v>
      </c>
      <c r="M199" s="12">
        <v>588337.64035999996</v>
      </c>
      <c r="N199" s="21">
        <v>310729</v>
      </c>
      <c r="O199" s="21">
        <v>6759</v>
      </c>
      <c r="P199" s="21">
        <v>303970</v>
      </c>
      <c r="Q199" s="21">
        <v>893097.23786999995</v>
      </c>
    </row>
    <row r="200" spans="1:18" ht="12.75" x14ac:dyDescent="0.2">
      <c r="A200" s="20" t="s">
        <v>80</v>
      </c>
      <c r="B200" s="21">
        <v>17394.722580000001</v>
      </c>
      <c r="C200" s="21">
        <v>56103.165489999999</v>
      </c>
      <c r="D200" s="21">
        <v>503405.87757999991</v>
      </c>
      <c r="E200" s="21">
        <v>3235.4159599999998</v>
      </c>
      <c r="F200" s="21">
        <v>573668.34968999994</v>
      </c>
      <c r="G200" s="21">
        <v>0.92300000000000004</v>
      </c>
      <c r="H200" s="27">
        <v>0</v>
      </c>
      <c r="I200" s="21">
        <v>18333</v>
      </c>
      <c r="J200" s="27">
        <v>0</v>
      </c>
      <c r="K200" s="12">
        <v>592002.2726899999</v>
      </c>
      <c r="L200" s="30">
        <v>3394.9717999999998</v>
      </c>
      <c r="M200" s="12">
        <v>591842.71684999985</v>
      </c>
      <c r="N200" s="21">
        <v>278903</v>
      </c>
      <c r="O200" s="21">
        <v>6472</v>
      </c>
      <c r="P200" s="21">
        <v>272431</v>
      </c>
      <c r="Q200" s="21">
        <v>864433.2726899999</v>
      </c>
    </row>
    <row r="201" spans="1:18" ht="12.75" x14ac:dyDescent="0.2">
      <c r="A201" s="20" t="s">
        <v>92</v>
      </c>
      <c r="B201" s="21">
        <v>17290.855130000004</v>
      </c>
      <c r="C201" s="21">
        <v>55575.408090000004</v>
      </c>
      <c r="D201" s="21">
        <v>486461.54339000001</v>
      </c>
      <c r="E201" s="21">
        <v>1929.0608999999999</v>
      </c>
      <c r="F201" s="21">
        <v>557398.74570999993</v>
      </c>
      <c r="G201" s="21">
        <v>0.90900000000000003</v>
      </c>
      <c r="H201" s="27">
        <v>0</v>
      </c>
      <c r="I201" s="21">
        <v>18248</v>
      </c>
      <c r="J201" s="27">
        <v>0</v>
      </c>
      <c r="K201" s="12">
        <v>575647.65470999992</v>
      </c>
      <c r="L201" s="30">
        <v>3734.7678599999995</v>
      </c>
      <c r="M201" s="12">
        <v>573841.94774999993</v>
      </c>
      <c r="N201" s="21">
        <v>260441</v>
      </c>
      <c r="O201" s="21">
        <v>7837</v>
      </c>
      <c r="P201" s="21">
        <v>252604</v>
      </c>
      <c r="Q201" s="21">
        <v>828251.65470999992</v>
      </c>
    </row>
    <row r="202" spans="1:18" ht="12.75" x14ac:dyDescent="0.2">
      <c r="A202" s="20" t="s">
        <v>93</v>
      </c>
      <c r="B202" s="21">
        <v>17192.056499999999</v>
      </c>
      <c r="C202" s="21">
        <v>55670.861290000001</v>
      </c>
      <c r="D202" s="21">
        <v>487246.11034999997</v>
      </c>
      <c r="E202" s="21">
        <v>2611.7051900000001</v>
      </c>
      <c r="F202" s="21">
        <v>557497.32294999994</v>
      </c>
      <c r="G202" s="21">
        <v>1.8</v>
      </c>
      <c r="H202" s="27">
        <v>0</v>
      </c>
      <c r="I202" s="21">
        <v>18394</v>
      </c>
      <c r="J202" s="27">
        <v>0</v>
      </c>
      <c r="K202" s="12">
        <v>575893.12294999999</v>
      </c>
      <c r="L202" s="30">
        <v>4063.6027000000004</v>
      </c>
      <c r="M202" s="12">
        <v>574441.22543999995</v>
      </c>
      <c r="N202" s="21">
        <v>247232</v>
      </c>
      <c r="O202" s="21">
        <v>8721</v>
      </c>
      <c r="P202" s="21">
        <v>238511</v>
      </c>
      <c r="Q202" s="21">
        <v>814404.12294999999</v>
      </c>
    </row>
    <row r="203" spans="1:18" ht="12.75" x14ac:dyDescent="0.2">
      <c r="A203" s="20" t="s">
        <v>81</v>
      </c>
      <c r="B203" s="21">
        <v>17352.196919999998</v>
      </c>
      <c r="C203" s="21">
        <v>55975.411460000003</v>
      </c>
      <c r="D203" s="21">
        <v>503119.43374999997</v>
      </c>
      <c r="E203" s="21">
        <v>2585.75371</v>
      </c>
      <c r="F203" s="21">
        <v>573861.28842</v>
      </c>
      <c r="G203" s="21">
        <v>2.9</v>
      </c>
      <c r="H203" s="27">
        <v>0</v>
      </c>
      <c r="I203" s="21">
        <v>18674</v>
      </c>
      <c r="J203" s="27">
        <v>0</v>
      </c>
      <c r="K203" s="12">
        <v>592538.18842000002</v>
      </c>
      <c r="L203" s="30">
        <v>6117.6843600000002</v>
      </c>
      <c r="M203" s="12">
        <v>589006.25777000003</v>
      </c>
      <c r="N203" s="21">
        <v>271115</v>
      </c>
      <c r="O203" s="21">
        <v>7061</v>
      </c>
      <c r="P203" s="21">
        <v>264054</v>
      </c>
      <c r="Q203" s="21">
        <v>856592.18842000002</v>
      </c>
    </row>
    <row r="204" spans="1:18" ht="12.75" x14ac:dyDescent="0.2">
      <c r="A204" s="24">
        <v>2019</v>
      </c>
    </row>
    <row r="205" spans="1:18" ht="12.75" x14ac:dyDescent="0.2">
      <c r="A205" s="20" t="s">
        <v>86</v>
      </c>
      <c r="B205" s="21">
        <v>17543.700430000001</v>
      </c>
      <c r="C205" s="21">
        <v>56374.099710000002</v>
      </c>
      <c r="D205" s="21">
        <v>485700.35074999998</v>
      </c>
      <c r="E205" s="21">
        <v>2620.5083799999998</v>
      </c>
      <c r="F205" s="21">
        <v>556997.64250999992</v>
      </c>
      <c r="G205" s="21">
        <v>2.9</v>
      </c>
      <c r="H205" s="27">
        <v>0</v>
      </c>
      <c r="I205" s="21">
        <v>18717</v>
      </c>
      <c r="J205" s="27">
        <v>0</v>
      </c>
      <c r="K205" s="15">
        <v>575717.54250999994</v>
      </c>
      <c r="L205" s="30">
        <v>6457.4804199999999</v>
      </c>
      <c r="M205" s="15">
        <v>571880.57046999992</v>
      </c>
      <c r="N205" s="21">
        <v>307899</v>
      </c>
      <c r="O205" s="21">
        <v>11402</v>
      </c>
      <c r="P205" s="21">
        <v>296497</v>
      </c>
      <c r="Q205" s="21">
        <v>872214.54250999994</v>
      </c>
      <c r="R205" s="41"/>
    </row>
    <row r="206" spans="1:18" ht="12.75" x14ac:dyDescent="0.2">
      <c r="A206" s="20" t="s">
        <v>87</v>
      </c>
      <c r="B206" s="21">
        <v>17375.86247</v>
      </c>
      <c r="C206" s="21">
        <v>56322.534439999996</v>
      </c>
      <c r="D206" s="21">
        <v>469236.76000999991</v>
      </c>
      <c r="E206" s="21">
        <v>2716.0784000000003</v>
      </c>
      <c r="F206" s="21">
        <v>540219.07851999986</v>
      </c>
      <c r="G206" s="21">
        <v>3.03</v>
      </c>
      <c r="H206" s="27">
        <v>0</v>
      </c>
      <c r="I206" s="21">
        <v>18691</v>
      </c>
      <c r="J206" s="27">
        <v>0</v>
      </c>
      <c r="K206" s="12">
        <v>558913.10851999989</v>
      </c>
      <c r="L206" s="30">
        <v>4904.4271999999992</v>
      </c>
      <c r="M206" s="12">
        <v>556724.75971999986</v>
      </c>
      <c r="N206" s="21">
        <v>318850</v>
      </c>
      <c r="O206" s="21">
        <v>7989</v>
      </c>
      <c r="P206" s="21">
        <v>310861</v>
      </c>
      <c r="Q206" s="21">
        <v>869774.10851999989</v>
      </c>
    </row>
    <row r="207" spans="1:18" ht="12.75" x14ac:dyDescent="0.2">
      <c r="A207" s="20" t="s">
        <v>78</v>
      </c>
      <c r="B207" s="21">
        <v>17323.580259999999</v>
      </c>
      <c r="C207" s="21">
        <v>55930.707259999996</v>
      </c>
      <c r="D207" s="21">
        <v>463519.51342999999</v>
      </c>
      <c r="E207" s="21">
        <v>4407.5257300000003</v>
      </c>
      <c r="F207" s="21">
        <v>532366.27521999995</v>
      </c>
      <c r="G207" s="21">
        <v>2.98</v>
      </c>
      <c r="H207" s="27">
        <v>0</v>
      </c>
      <c r="I207" s="21">
        <v>18936</v>
      </c>
      <c r="J207" s="27">
        <v>0</v>
      </c>
      <c r="K207" s="12">
        <v>551305.25521999993</v>
      </c>
      <c r="L207" s="30">
        <v>4957.8940200000006</v>
      </c>
      <c r="M207" s="12">
        <v>550754.88692999992</v>
      </c>
      <c r="N207" s="21">
        <v>350206</v>
      </c>
      <c r="O207" s="21">
        <v>21118</v>
      </c>
      <c r="P207" s="21">
        <v>329088</v>
      </c>
      <c r="Q207" s="21">
        <v>880393.25521999993</v>
      </c>
    </row>
    <row r="208" spans="1:18" ht="12.75" x14ac:dyDescent="0.2">
      <c r="A208" s="20" t="s">
        <v>88</v>
      </c>
      <c r="B208" s="21">
        <v>17358.397649999999</v>
      </c>
      <c r="C208" s="21">
        <v>55830.368390000003</v>
      </c>
      <c r="D208" s="21">
        <v>451700.67836000002</v>
      </c>
      <c r="E208" s="21">
        <v>1989.49909</v>
      </c>
      <c r="F208" s="21">
        <v>522899.94531000004</v>
      </c>
      <c r="G208" s="21">
        <v>2.98</v>
      </c>
      <c r="H208" s="27">
        <v>0</v>
      </c>
      <c r="I208" s="21">
        <v>18884</v>
      </c>
      <c r="J208" s="27">
        <v>0</v>
      </c>
      <c r="K208" s="12">
        <v>541786.92531000008</v>
      </c>
      <c r="L208" s="30">
        <v>5274.7075200000008</v>
      </c>
      <c r="M208" s="12">
        <v>538501.71687999996</v>
      </c>
      <c r="N208" s="21">
        <v>364226</v>
      </c>
      <c r="O208" s="21">
        <v>4865</v>
      </c>
      <c r="P208" s="21">
        <v>359361</v>
      </c>
      <c r="Q208" s="21">
        <v>901147.92531000008</v>
      </c>
    </row>
    <row r="209" spans="1:21" ht="12.75" x14ac:dyDescent="0.2">
      <c r="A209" s="20" t="s">
        <v>89</v>
      </c>
      <c r="B209" s="21">
        <v>17129.8161</v>
      </c>
      <c r="C209" s="21">
        <v>55559.407330000002</v>
      </c>
      <c r="D209" s="21">
        <v>450849.84028</v>
      </c>
      <c r="E209" s="21">
        <v>3968.55744</v>
      </c>
      <c r="F209" s="21">
        <v>519570.50627000001</v>
      </c>
      <c r="G209" s="21">
        <v>2.87</v>
      </c>
      <c r="H209" s="27">
        <v>0</v>
      </c>
      <c r="I209" s="21">
        <v>19183</v>
      </c>
      <c r="J209" s="27">
        <v>0</v>
      </c>
      <c r="K209" s="12">
        <v>538756.37627000001</v>
      </c>
      <c r="L209" s="30">
        <v>5602.0814</v>
      </c>
      <c r="M209" s="12">
        <v>537122.85230999999</v>
      </c>
      <c r="N209" s="21">
        <v>357669</v>
      </c>
      <c r="O209" s="12">
        <v>9774</v>
      </c>
      <c r="P209" s="21">
        <v>347895</v>
      </c>
      <c r="Q209" s="21">
        <v>886651.37627000001</v>
      </c>
    </row>
    <row r="210" spans="1:21" ht="12.75" x14ac:dyDescent="0.2">
      <c r="A210" s="20" t="s">
        <v>79</v>
      </c>
      <c r="B210" s="21">
        <v>17348.680079999998</v>
      </c>
      <c r="C210" s="21">
        <v>56067.263159999995</v>
      </c>
      <c r="D210" s="21">
        <v>466434.38047999999</v>
      </c>
      <c r="E210" s="21">
        <v>2692.6399900000001</v>
      </c>
      <c r="F210" s="21">
        <v>537157.68372999993</v>
      </c>
      <c r="G210" s="21">
        <v>2.87</v>
      </c>
      <c r="H210" s="27">
        <v>0</v>
      </c>
      <c r="I210" s="21">
        <v>19282</v>
      </c>
      <c r="J210" s="27">
        <v>0</v>
      </c>
      <c r="K210" s="12">
        <v>556442.55372999993</v>
      </c>
      <c r="L210" s="30">
        <v>5918.8949000000002</v>
      </c>
      <c r="M210" s="12">
        <v>553216.29882000003</v>
      </c>
      <c r="N210" s="21">
        <v>326191</v>
      </c>
      <c r="O210" s="12">
        <v>5330</v>
      </c>
      <c r="P210" s="21">
        <v>320861</v>
      </c>
      <c r="Q210" s="21">
        <v>877303.55372999993</v>
      </c>
      <c r="U210" s="44"/>
    </row>
    <row r="211" spans="1:21" ht="12.75" x14ac:dyDescent="0.2">
      <c r="A211" s="20" t="s">
        <v>90</v>
      </c>
      <c r="B211" s="21">
        <v>17223.22551</v>
      </c>
      <c r="C211" s="21">
        <v>55470.620790000001</v>
      </c>
      <c r="D211" s="21">
        <v>470076.74366999988</v>
      </c>
      <c r="E211" s="21">
        <v>2183.6691800000003</v>
      </c>
      <c r="F211" s="21">
        <v>540586.92078999989</v>
      </c>
      <c r="G211" s="21">
        <v>2.7919214160000001</v>
      </c>
      <c r="H211" s="27">
        <v>0</v>
      </c>
      <c r="I211" s="21">
        <v>19286</v>
      </c>
      <c r="J211" s="27">
        <v>0</v>
      </c>
      <c r="K211" s="12">
        <v>559875.71271141584</v>
      </c>
      <c r="L211" s="30">
        <v>5639.2397200000005</v>
      </c>
      <c r="M211" s="12">
        <v>556420.14217141585</v>
      </c>
      <c r="N211" s="21">
        <v>301533</v>
      </c>
      <c r="O211" s="12">
        <v>7180</v>
      </c>
      <c r="P211" s="21">
        <v>294353</v>
      </c>
      <c r="Q211" s="21">
        <v>854228.71271141584</v>
      </c>
    </row>
    <row r="212" spans="1:21" ht="12.75" x14ac:dyDescent="0.2">
      <c r="A212" s="20" t="s">
        <v>91</v>
      </c>
      <c r="B212" s="21">
        <v>17002.717690000001</v>
      </c>
      <c r="C212" s="21">
        <v>55241.038619999999</v>
      </c>
      <c r="D212" s="21">
        <v>467560.86316000001</v>
      </c>
      <c r="E212" s="21">
        <v>2219.7983400000003</v>
      </c>
      <c r="F212" s="21">
        <v>537584.82113000005</v>
      </c>
      <c r="G212" s="21">
        <v>2.7890000000000001</v>
      </c>
      <c r="H212" s="27">
        <v>0</v>
      </c>
      <c r="I212" s="21">
        <v>19742</v>
      </c>
      <c r="J212" s="27">
        <v>0</v>
      </c>
      <c r="K212" s="12">
        <v>557329.61013000004</v>
      </c>
      <c r="L212" s="30">
        <v>4256.4102599999997</v>
      </c>
      <c r="M212" s="12">
        <v>555292.99820999999</v>
      </c>
      <c r="N212" s="21">
        <v>280666</v>
      </c>
      <c r="O212" s="12">
        <v>5032</v>
      </c>
      <c r="P212" s="21">
        <v>275634</v>
      </c>
      <c r="Q212" s="21">
        <v>832963.61013000004</v>
      </c>
    </row>
    <row r="213" spans="1:21" ht="12.75" x14ac:dyDescent="0.2">
      <c r="A213" s="20" t="s">
        <v>80</v>
      </c>
      <c r="B213" s="21">
        <v>16992.785849999997</v>
      </c>
      <c r="C213" s="21">
        <v>55037.852020000006</v>
      </c>
      <c r="D213" s="21">
        <v>456360.77779000008</v>
      </c>
      <c r="E213" s="21">
        <v>2617.7401299999997</v>
      </c>
      <c r="F213" s="21">
        <v>525773.67553000001</v>
      </c>
      <c r="G213" s="21">
        <v>2.8124699999999998</v>
      </c>
      <c r="H213" s="27">
        <v>0</v>
      </c>
      <c r="I213" s="21">
        <v>19640</v>
      </c>
      <c r="J213" s="27">
        <v>0</v>
      </c>
      <c r="K213" s="12">
        <v>545416.48800000001</v>
      </c>
      <c r="L213" s="30">
        <v>4429.0852800000002</v>
      </c>
      <c r="M213" s="12">
        <v>543605.14285000006</v>
      </c>
      <c r="N213" s="21">
        <v>267150</v>
      </c>
      <c r="O213" s="12">
        <v>7935</v>
      </c>
      <c r="P213" s="21">
        <v>259215</v>
      </c>
      <c r="Q213" s="21">
        <v>804631.48800000001</v>
      </c>
    </row>
    <row r="214" spans="1:21" ht="12.75" x14ac:dyDescent="0.2">
      <c r="A214" s="20" t="s">
        <v>92</v>
      </c>
      <c r="B214" s="21">
        <v>17241.721899999997</v>
      </c>
      <c r="C214" s="21">
        <v>55687.197310000003</v>
      </c>
      <c r="D214" s="21">
        <v>440827.92376999999</v>
      </c>
      <c r="E214" s="21">
        <v>1496.4967300000001</v>
      </c>
      <c r="F214" s="21">
        <v>512260.34624999994</v>
      </c>
      <c r="G214" s="21">
        <v>2.8124699999999998</v>
      </c>
      <c r="H214" s="27">
        <v>0</v>
      </c>
      <c r="I214" s="21">
        <v>19640</v>
      </c>
      <c r="J214" s="27">
        <v>0</v>
      </c>
      <c r="K214" s="12">
        <v>531903.15871999995</v>
      </c>
      <c r="L214" s="30">
        <v>4647.1433200000001</v>
      </c>
      <c r="M214" s="12">
        <v>528752.51212999993</v>
      </c>
      <c r="N214" s="21">
        <v>226279</v>
      </c>
      <c r="O214" s="15">
        <v>5359</v>
      </c>
      <c r="P214" s="21">
        <v>220920</v>
      </c>
      <c r="Q214" s="21">
        <v>752823.15871999995</v>
      </c>
    </row>
    <row r="215" spans="1:21" ht="12.75" x14ac:dyDescent="0.2">
      <c r="A215" s="20" t="s">
        <v>93</v>
      </c>
      <c r="B215" s="21">
        <v>17048.77176</v>
      </c>
      <c r="C215" s="21">
        <v>55472.014499999997</v>
      </c>
      <c r="D215" s="21">
        <v>428477.26414999994</v>
      </c>
      <c r="E215" s="21">
        <v>916.65373</v>
      </c>
      <c r="F215" s="21">
        <v>500081.39667999989</v>
      </c>
      <c r="G215" s="21">
        <v>2.9426100000000002</v>
      </c>
      <c r="H215" s="27">
        <v>0</v>
      </c>
      <c r="I215" s="21">
        <v>19604</v>
      </c>
      <c r="J215" s="27">
        <v>0</v>
      </c>
      <c r="K215" s="12">
        <v>519688.33928999992</v>
      </c>
      <c r="L215" s="30">
        <v>4580.1724399999994</v>
      </c>
      <c r="M215" s="12">
        <v>516024.82057999994</v>
      </c>
      <c r="N215" s="21">
        <v>214556</v>
      </c>
      <c r="O215" s="21">
        <v>7038</v>
      </c>
      <c r="P215" s="21">
        <v>207518</v>
      </c>
      <c r="Q215" s="21">
        <v>727206.33928999992</v>
      </c>
    </row>
    <row r="216" spans="1:21" ht="12.75" x14ac:dyDescent="0.2">
      <c r="A216" s="20" t="s">
        <v>81</v>
      </c>
      <c r="B216" s="21">
        <v>17218.345739999997</v>
      </c>
      <c r="C216" s="21">
        <v>55873.033909999998</v>
      </c>
      <c r="D216" s="21">
        <v>467702.68028999999</v>
      </c>
      <c r="E216" s="21">
        <v>1489.0341699999999</v>
      </c>
      <c r="F216" s="21">
        <v>539305.02576999995</v>
      </c>
      <c r="G216" s="21">
        <v>2.9946700000000002</v>
      </c>
      <c r="H216" s="27">
        <v>0</v>
      </c>
      <c r="I216" s="21">
        <v>19526</v>
      </c>
      <c r="J216" s="27">
        <v>0</v>
      </c>
      <c r="K216" s="12">
        <v>558834.02043999999</v>
      </c>
      <c r="L216" s="30">
        <v>3073.7640999999994</v>
      </c>
      <c r="M216" s="12">
        <v>557249.29050999996</v>
      </c>
      <c r="N216" s="21">
        <v>261756</v>
      </c>
      <c r="O216" s="21">
        <v>7317</v>
      </c>
      <c r="P216" s="21">
        <v>254439</v>
      </c>
      <c r="Q216" s="21">
        <v>813273.02043999999</v>
      </c>
    </row>
    <row r="217" spans="1:21" ht="12.75" x14ac:dyDescent="0.2">
      <c r="A217" s="24">
        <v>2020</v>
      </c>
    </row>
    <row r="218" spans="1:21" ht="12.75" x14ac:dyDescent="0.2">
      <c r="A218" s="20" t="s">
        <v>86</v>
      </c>
      <c r="B218" s="21">
        <v>17189.347549999999</v>
      </c>
      <c r="C218" s="21">
        <v>55635.695060000005</v>
      </c>
      <c r="D218" s="21">
        <v>452894.69395000004</v>
      </c>
      <c r="E218" s="21">
        <v>6113.8078099999984</v>
      </c>
      <c r="F218" s="21">
        <v>519605.92875000008</v>
      </c>
      <c r="G218" s="21">
        <v>2.9946700000000002</v>
      </c>
      <c r="H218" s="27">
        <v>0</v>
      </c>
      <c r="I218" s="21">
        <v>19882</v>
      </c>
      <c r="J218" s="27">
        <v>0</v>
      </c>
      <c r="K218" s="15">
        <v>539490.92342000012</v>
      </c>
      <c r="L218" s="30">
        <v>3306.1747199999995</v>
      </c>
      <c r="M218" s="15">
        <v>542298.55651000014</v>
      </c>
      <c r="N218" s="21">
        <v>282066</v>
      </c>
      <c r="O218" s="21">
        <v>16588</v>
      </c>
      <c r="P218" s="21">
        <v>265478</v>
      </c>
      <c r="Q218" s="21">
        <v>804968.92342000012</v>
      </c>
      <c r="R218" s="41"/>
    </row>
    <row r="219" spans="1:21" ht="12.75" x14ac:dyDescent="0.2">
      <c r="A219" s="20" t="s">
        <v>87</v>
      </c>
      <c r="B219" s="21">
        <v>17049.014449999999</v>
      </c>
      <c r="C219" s="21">
        <v>55527.798759999998</v>
      </c>
      <c r="D219" s="21">
        <v>428210.70797000005</v>
      </c>
      <c r="E219" s="21">
        <v>2260.3906299999999</v>
      </c>
      <c r="F219" s="21">
        <v>498527.13055000006</v>
      </c>
      <c r="G219" s="21">
        <v>2.94</v>
      </c>
      <c r="H219" s="27">
        <v>0</v>
      </c>
      <c r="I219" s="21">
        <v>20218.95</v>
      </c>
      <c r="J219" s="27">
        <v>0</v>
      </c>
      <c r="K219" s="15">
        <v>518749.02055000007</v>
      </c>
      <c r="L219" s="30">
        <v>2682.7537399999997</v>
      </c>
      <c r="M219" s="15">
        <v>518326.65744000004</v>
      </c>
      <c r="N219" s="21">
        <v>308858</v>
      </c>
      <c r="O219" s="21">
        <v>19396</v>
      </c>
      <c r="P219" s="21">
        <v>289462</v>
      </c>
      <c r="Q219" s="21">
        <v>808211.02055000002</v>
      </c>
    </row>
    <row r="220" spans="1:21" ht="12.75" x14ac:dyDescent="0.2">
      <c r="A220" s="20" t="s">
        <v>78</v>
      </c>
      <c r="B220" s="21">
        <v>16957.039959999998</v>
      </c>
      <c r="C220" s="21">
        <v>55184.813929999997</v>
      </c>
      <c r="D220" s="21">
        <v>434001.68563000008</v>
      </c>
      <c r="E220" s="21">
        <v>4388.8613600000008</v>
      </c>
      <c r="F220" s="21">
        <v>501754.67816000013</v>
      </c>
      <c r="G220" s="21">
        <v>2.94</v>
      </c>
      <c r="H220" s="27">
        <v>0</v>
      </c>
      <c r="I220" s="21">
        <v>20616.181</v>
      </c>
      <c r="J220" s="27">
        <v>0</v>
      </c>
      <c r="K220" s="15">
        <v>522373.79916000011</v>
      </c>
      <c r="L220" s="30">
        <v>2361.6305200000002</v>
      </c>
      <c r="M220" s="15">
        <v>524401.03000000014</v>
      </c>
      <c r="N220" s="21">
        <v>334684</v>
      </c>
      <c r="O220" s="21">
        <v>17991</v>
      </c>
      <c r="P220" s="21">
        <v>316693</v>
      </c>
      <c r="Q220" s="21">
        <v>839066.79916000017</v>
      </c>
    </row>
    <row r="221" spans="1:21" ht="12.75" x14ac:dyDescent="0.2">
      <c r="A221" s="20" t="s">
        <v>88</v>
      </c>
      <c r="B221" s="21">
        <v>16980.220260000002</v>
      </c>
      <c r="C221" s="21">
        <v>55249.65049</v>
      </c>
      <c r="D221" s="21">
        <v>445463.35386000009</v>
      </c>
      <c r="E221" s="21">
        <v>1221.1767199999999</v>
      </c>
      <c r="F221" s="21">
        <v>516472.0478900001</v>
      </c>
      <c r="G221" s="21">
        <v>2.86</v>
      </c>
      <c r="H221" s="27">
        <v>0</v>
      </c>
      <c r="I221" s="21">
        <v>20583.02</v>
      </c>
      <c r="J221" s="27">
        <v>0</v>
      </c>
      <c r="K221" s="15">
        <v>537057.92789000005</v>
      </c>
      <c r="L221" s="30">
        <v>2524.5937599999997</v>
      </c>
      <c r="M221" s="15">
        <v>535754.51085000008</v>
      </c>
      <c r="N221" s="21">
        <v>324073</v>
      </c>
      <c r="O221" s="21">
        <v>23032</v>
      </c>
      <c r="P221" s="21">
        <v>301041</v>
      </c>
      <c r="Q221" s="21">
        <v>838098.92789000005</v>
      </c>
    </row>
    <row r="222" spans="1:21" ht="12.75" x14ac:dyDescent="0.2">
      <c r="A222" s="20" t="s">
        <v>89</v>
      </c>
      <c r="B222" s="21">
        <v>16995.706999999999</v>
      </c>
      <c r="C222" s="21">
        <v>55493.275929999996</v>
      </c>
      <c r="D222" s="21">
        <v>443962.77173999994</v>
      </c>
      <c r="E222" s="21">
        <v>2354.8032599999997</v>
      </c>
      <c r="F222" s="21">
        <v>514096.95140999992</v>
      </c>
      <c r="G222" s="21">
        <v>2.82</v>
      </c>
      <c r="H222" s="27">
        <v>0</v>
      </c>
      <c r="I222" s="21">
        <v>20622.7</v>
      </c>
      <c r="J222" s="27">
        <v>0</v>
      </c>
      <c r="K222" s="15">
        <v>534722.47140999988</v>
      </c>
      <c r="L222" s="30">
        <v>2483.0789199999999</v>
      </c>
      <c r="M222" s="15">
        <v>534594.19574999996</v>
      </c>
      <c r="N222" s="21">
        <v>299588</v>
      </c>
      <c r="O222" s="21">
        <v>18079</v>
      </c>
      <c r="P222" s="21">
        <v>281509</v>
      </c>
      <c r="Q222" s="21">
        <v>816231.47140999988</v>
      </c>
    </row>
    <row r="223" spans="1:21" ht="12.75" x14ac:dyDescent="0.2">
      <c r="A223" s="20" t="s">
        <v>79</v>
      </c>
      <c r="B223" s="21">
        <v>17046.091619999999</v>
      </c>
      <c r="C223" s="21">
        <v>55641.97724</v>
      </c>
      <c r="D223" s="21">
        <v>495230.75908999995</v>
      </c>
      <c r="E223" s="21">
        <v>3919.0134299999995</v>
      </c>
      <c r="F223" s="21">
        <v>563999.8145199999</v>
      </c>
      <c r="G223" s="21">
        <v>2.82</v>
      </c>
      <c r="H223" s="27">
        <v>0</v>
      </c>
      <c r="I223" s="21">
        <v>20672.61</v>
      </c>
      <c r="J223" s="27">
        <v>0</v>
      </c>
      <c r="K223" s="15">
        <v>584675.24451999983</v>
      </c>
      <c r="L223" s="30">
        <v>2621.4838400000003</v>
      </c>
      <c r="M223" s="15">
        <v>585972.77410999988</v>
      </c>
      <c r="N223" s="21">
        <v>277591</v>
      </c>
      <c r="O223" s="21">
        <v>17950</v>
      </c>
      <c r="P223" s="21">
        <v>259641</v>
      </c>
      <c r="Q223" s="21">
        <v>844316.24451999983</v>
      </c>
      <c r="U223" s="44"/>
    </row>
    <row r="224" spans="1:21" ht="12.75" x14ac:dyDescent="0.2">
      <c r="A224" s="20" t="s">
        <v>90</v>
      </c>
      <c r="B224" s="21">
        <v>17513.98588</v>
      </c>
      <c r="C224" s="21">
        <v>57153.561600000001</v>
      </c>
      <c r="D224" s="21">
        <v>525162.88825999992</v>
      </c>
      <c r="E224" s="21">
        <v>3573.9848999999999</v>
      </c>
      <c r="F224" s="21">
        <v>596256.45083999983</v>
      </c>
      <c r="G224" s="21">
        <v>3.01</v>
      </c>
      <c r="H224" s="27">
        <v>0</v>
      </c>
      <c r="I224" s="21">
        <v>20787.62</v>
      </c>
      <c r="J224" s="27">
        <v>0</v>
      </c>
      <c r="K224" s="15">
        <v>617047.08083999984</v>
      </c>
      <c r="L224" s="30">
        <v>2397.1244999999999</v>
      </c>
      <c r="M224" s="15">
        <v>618223.94123999984</v>
      </c>
      <c r="N224" s="21">
        <v>295021</v>
      </c>
      <c r="O224" s="21">
        <v>21739</v>
      </c>
      <c r="P224" s="21">
        <v>273282</v>
      </c>
      <c r="Q224" s="21">
        <v>890329.08083999984</v>
      </c>
    </row>
    <row r="225" spans="1:18" ht="12.75" x14ac:dyDescent="0.2">
      <c r="A225" s="20" t="s">
        <v>91</v>
      </c>
      <c r="B225" s="21">
        <v>17577.99034</v>
      </c>
      <c r="C225" s="21">
        <v>57393.810229999995</v>
      </c>
      <c r="D225" s="21">
        <v>559980.78246999986</v>
      </c>
      <c r="E225" s="21">
        <v>2497.6330900000007</v>
      </c>
      <c r="F225" s="21">
        <v>632454.94994999981</v>
      </c>
      <c r="G225" s="21">
        <v>2.93</v>
      </c>
      <c r="H225" s="27">
        <v>0</v>
      </c>
      <c r="I225" s="21">
        <v>20679.57</v>
      </c>
      <c r="J225" s="27">
        <v>0</v>
      </c>
      <c r="K225" s="15">
        <v>653137.44994999981</v>
      </c>
      <c r="L225" s="30">
        <v>2435.3774600000006</v>
      </c>
      <c r="M225" s="15">
        <v>653199.70557999983</v>
      </c>
      <c r="N225" s="21">
        <v>292820</v>
      </c>
      <c r="O225" s="21">
        <v>21551</v>
      </c>
      <c r="P225" s="21">
        <v>271269</v>
      </c>
      <c r="Q225" s="21">
        <v>924406.44994999981</v>
      </c>
    </row>
    <row r="226" spans="1:18" ht="12.75" x14ac:dyDescent="0.2">
      <c r="A226" s="20" t="s">
        <v>80</v>
      </c>
      <c r="B226" s="21">
        <v>17443.217789999999</v>
      </c>
      <c r="C226" s="21">
        <v>56935.197719999996</v>
      </c>
      <c r="D226" s="21">
        <v>577908.65891999984</v>
      </c>
      <c r="E226" s="21">
        <v>1212.1932199999997</v>
      </c>
      <c r="F226" s="21">
        <v>651074.88120999979</v>
      </c>
      <c r="G226" s="21">
        <v>2.93</v>
      </c>
      <c r="H226" s="27">
        <v>0</v>
      </c>
      <c r="I226" s="21">
        <v>20708.197459999999</v>
      </c>
      <c r="J226" s="27">
        <v>0</v>
      </c>
      <c r="K226" s="15">
        <v>671786.00866999989</v>
      </c>
      <c r="L226" s="30">
        <v>2413.4630200000001</v>
      </c>
      <c r="M226" s="15">
        <v>670584.73886999988</v>
      </c>
      <c r="N226" s="21">
        <v>323897</v>
      </c>
      <c r="O226" s="21">
        <v>28270</v>
      </c>
      <c r="P226" s="21">
        <v>295627</v>
      </c>
      <c r="Q226" s="21">
        <v>967413.00866999989</v>
      </c>
    </row>
    <row r="227" spans="1:18" ht="12.75" x14ac:dyDescent="0.2">
      <c r="A227" s="20" t="s">
        <v>92</v>
      </c>
      <c r="B227" s="21">
        <v>17499.025420000002</v>
      </c>
      <c r="C227" s="21">
        <v>57099.643750000003</v>
      </c>
      <c r="D227" s="21">
        <v>602291.63101999997</v>
      </c>
      <c r="E227" s="21">
        <v>3320.757160000001</v>
      </c>
      <c r="F227" s="21">
        <v>673569.54302999994</v>
      </c>
      <c r="G227" s="21">
        <v>3.05</v>
      </c>
      <c r="H227" s="27">
        <v>0</v>
      </c>
      <c r="I227" s="21">
        <v>20552.5</v>
      </c>
      <c r="J227" s="27">
        <v>0</v>
      </c>
      <c r="K227" s="15">
        <v>694125.09302999999</v>
      </c>
      <c r="L227" s="30">
        <v>2486.8917200000001</v>
      </c>
      <c r="M227" s="15">
        <v>694958.95847000007</v>
      </c>
      <c r="N227" s="21">
        <v>300984</v>
      </c>
      <c r="O227" s="21">
        <v>26947</v>
      </c>
      <c r="P227" s="21">
        <v>274037</v>
      </c>
      <c r="Q227" s="21">
        <v>968162.09302999999</v>
      </c>
    </row>
    <row r="228" spans="1:18" ht="12.75" x14ac:dyDescent="0.2">
      <c r="A228" s="20" t="s">
        <v>93</v>
      </c>
      <c r="B228" s="21">
        <v>17718.7984</v>
      </c>
      <c r="C228" s="21">
        <v>57850.791520000006</v>
      </c>
      <c r="D228" s="21">
        <v>600447.61963999993</v>
      </c>
      <c r="E228" s="21">
        <v>1825.0761299999999</v>
      </c>
      <c r="F228" s="21">
        <v>674192.13342999993</v>
      </c>
      <c r="G228" s="21">
        <v>3.029604618</v>
      </c>
      <c r="H228" s="27">
        <v>0</v>
      </c>
      <c r="I228" s="21">
        <v>20647.93</v>
      </c>
      <c r="J228" s="27">
        <v>0</v>
      </c>
      <c r="K228" s="15">
        <v>694843.09303461795</v>
      </c>
      <c r="L228" s="30">
        <v>2548.34114</v>
      </c>
      <c r="M228" s="15">
        <v>694119.82802461786</v>
      </c>
      <c r="N228" s="21">
        <v>299799</v>
      </c>
      <c r="O228" s="21">
        <v>35764</v>
      </c>
      <c r="P228" s="21">
        <v>264035</v>
      </c>
      <c r="Q228" s="21">
        <v>958878.09303461795</v>
      </c>
    </row>
    <row r="229" spans="1:18" ht="12.75" x14ac:dyDescent="0.2">
      <c r="A229" s="20" t="s">
        <v>81</v>
      </c>
      <c r="B229" s="21">
        <v>17850.811659999999</v>
      </c>
      <c r="C229" s="21">
        <v>58262.395240000005</v>
      </c>
      <c r="D229" s="21">
        <v>605542.26835999999</v>
      </c>
      <c r="E229" s="21">
        <v>2976.2823200000012</v>
      </c>
      <c r="F229" s="21">
        <v>678679.19293999998</v>
      </c>
      <c r="G229" s="21">
        <v>3.12</v>
      </c>
      <c r="H229" s="27">
        <v>0</v>
      </c>
      <c r="I229" s="21">
        <v>20594.099999999999</v>
      </c>
      <c r="J229" s="27">
        <v>0</v>
      </c>
      <c r="K229" s="15">
        <v>699276.41293999995</v>
      </c>
      <c r="L229" s="30">
        <v>2644.3768400000004</v>
      </c>
      <c r="M229" s="15">
        <v>699608.31841999991</v>
      </c>
      <c r="N229" s="21">
        <v>321724</v>
      </c>
      <c r="O229" s="21">
        <v>20950</v>
      </c>
      <c r="P229" s="21">
        <v>300774</v>
      </c>
      <c r="Q229" s="21">
        <v>1000050.41294</v>
      </c>
    </row>
    <row r="230" spans="1:18" ht="12.75" x14ac:dyDescent="0.2">
      <c r="A230" s="24">
        <v>2021</v>
      </c>
    </row>
    <row r="231" spans="1:18" ht="12.75" x14ac:dyDescent="0.2">
      <c r="A231" s="20" t="s">
        <v>86</v>
      </c>
      <c r="B231" s="21">
        <v>17861.550350000001</v>
      </c>
      <c r="C231" s="21">
        <v>58283.976630000005</v>
      </c>
      <c r="D231" s="21">
        <v>604065.91050000011</v>
      </c>
      <c r="E231" s="21">
        <v>2451.3556800000006</v>
      </c>
      <c r="F231" s="21">
        <v>677760.08180000004</v>
      </c>
      <c r="G231" s="21">
        <v>3.11</v>
      </c>
      <c r="H231" s="27">
        <v>0</v>
      </c>
      <c r="I231" s="21">
        <v>20413.59</v>
      </c>
      <c r="J231" s="27">
        <v>0</v>
      </c>
      <c r="K231" s="15">
        <v>698176.7818</v>
      </c>
      <c r="L231" s="30">
        <v>2742.6791999999996</v>
      </c>
      <c r="M231" s="15">
        <v>697885.45828000002</v>
      </c>
      <c r="N231" s="21">
        <v>345483</v>
      </c>
      <c r="O231" s="21">
        <v>35646</v>
      </c>
      <c r="P231" s="21">
        <v>309837</v>
      </c>
      <c r="Q231" s="21">
        <v>1008013.7818</v>
      </c>
      <c r="R231" s="41"/>
    </row>
    <row r="232" spans="1:18" ht="12.75" x14ac:dyDescent="0.2">
      <c r="A232" s="20" t="s">
        <v>87</v>
      </c>
      <c r="B232" s="21">
        <v>17828.929649999998</v>
      </c>
      <c r="C232" s="21">
        <v>58227.130380000002</v>
      </c>
      <c r="D232" s="21">
        <v>615651.44324000005</v>
      </c>
      <c r="E232" s="21">
        <v>2882.86663</v>
      </c>
      <c r="F232" s="21">
        <v>688824.63664000004</v>
      </c>
      <c r="G232" s="21">
        <v>3.11</v>
      </c>
      <c r="H232" s="27">
        <v>0</v>
      </c>
      <c r="I232" s="21">
        <v>20413.59</v>
      </c>
      <c r="J232" s="27">
        <v>0</v>
      </c>
      <c r="K232" s="15">
        <v>709241.33663999999</v>
      </c>
      <c r="L232" s="30">
        <v>1921.39048</v>
      </c>
      <c r="M232" s="15">
        <v>710202.81279</v>
      </c>
      <c r="N232" s="21">
        <v>343229</v>
      </c>
      <c r="O232" s="21">
        <v>32199</v>
      </c>
      <c r="P232" s="21">
        <v>311030</v>
      </c>
      <c r="Q232" s="21">
        <v>1020271.33664</v>
      </c>
      <c r="R232" s="41"/>
    </row>
    <row r="233" spans="1:18" ht="12.75" x14ac:dyDescent="0.2">
      <c r="A233" s="20" t="s">
        <v>78</v>
      </c>
      <c r="B233" s="21">
        <v>17558.716239999998</v>
      </c>
      <c r="C233" s="21">
        <v>57334.509770000004</v>
      </c>
      <c r="D233" s="21">
        <v>611844.4760599999</v>
      </c>
      <c r="E233" s="21">
        <v>2960.1860699999993</v>
      </c>
      <c r="F233" s="21">
        <v>683777.51599999983</v>
      </c>
      <c r="G233" s="21">
        <v>3.15</v>
      </c>
      <c r="H233" s="27">
        <v>0</v>
      </c>
      <c r="I233" s="21">
        <v>19883.23</v>
      </c>
      <c r="J233" s="27">
        <v>0</v>
      </c>
      <c r="K233" s="15">
        <v>703663.89599999983</v>
      </c>
      <c r="L233" s="30">
        <v>1955.0652399999999</v>
      </c>
      <c r="M233" s="15">
        <v>704669.01682999986</v>
      </c>
      <c r="N233" s="21">
        <v>365099</v>
      </c>
      <c r="O233" s="21">
        <v>31818</v>
      </c>
      <c r="P233" s="21">
        <v>333281</v>
      </c>
      <c r="Q233" s="21">
        <v>1036944.8959999998</v>
      </c>
      <c r="R233" s="41"/>
    </row>
    <row r="234" spans="1:18" ht="12.75" x14ac:dyDescent="0.2">
      <c r="A234" s="20" t="s">
        <v>88</v>
      </c>
      <c r="B234" s="21">
        <v>17794.412469999999</v>
      </c>
      <c r="C234" s="21">
        <v>58094.272960000002</v>
      </c>
      <c r="D234" s="21">
        <v>603405.13381999999</v>
      </c>
      <c r="E234" s="21">
        <v>2963.4512100000002</v>
      </c>
      <c r="F234" s="21">
        <v>676330.36803999997</v>
      </c>
      <c r="G234" s="21">
        <v>3.17</v>
      </c>
      <c r="H234" s="27">
        <v>0</v>
      </c>
      <c r="I234" s="21">
        <v>19974.2</v>
      </c>
      <c r="J234" s="27">
        <v>0</v>
      </c>
      <c r="K234" s="15">
        <v>696307.73803999997</v>
      </c>
      <c r="L234" s="30">
        <v>1979.6511200000002</v>
      </c>
      <c r="M234" s="15">
        <v>697291.53812999988</v>
      </c>
      <c r="N234" s="21">
        <v>493029</v>
      </c>
      <c r="O234" s="21">
        <v>113447</v>
      </c>
      <c r="P234" s="21">
        <v>379582</v>
      </c>
      <c r="Q234" s="21">
        <v>1075889.73804</v>
      </c>
      <c r="R234" s="41"/>
    </row>
    <row r="235" spans="1:18" ht="12.75" x14ac:dyDescent="0.2">
      <c r="A235" s="20" t="s">
        <v>89</v>
      </c>
      <c r="B235" s="21">
        <v>17894.382240000003</v>
      </c>
      <c r="C235" s="21">
        <v>58446.505649999999</v>
      </c>
      <c r="D235" s="21">
        <v>603676.44327000005</v>
      </c>
      <c r="E235" s="21">
        <v>2918.1386800000005</v>
      </c>
      <c r="F235" s="21">
        <v>677099.19248000009</v>
      </c>
      <c r="G235" s="21">
        <v>3.24</v>
      </c>
      <c r="H235" s="27">
        <v>0</v>
      </c>
      <c r="I235" s="21">
        <v>19993.080000000002</v>
      </c>
      <c r="J235" s="27">
        <v>0</v>
      </c>
      <c r="K235" s="15">
        <v>697095.51248000003</v>
      </c>
      <c r="L235" s="30">
        <v>2038.9073800000003</v>
      </c>
      <c r="M235" s="15">
        <v>697974.74378000002</v>
      </c>
      <c r="N235" s="21">
        <v>530658</v>
      </c>
      <c r="O235" s="21">
        <v>113361</v>
      </c>
      <c r="P235" s="21">
        <v>417297</v>
      </c>
      <c r="Q235" s="21">
        <v>1114392.51248</v>
      </c>
      <c r="R235" s="41"/>
    </row>
    <row r="236" spans="1:18" ht="12.75" x14ac:dyDescent="0.2">
      <c r="A236" s="20" t="s">
        <v>79</v>
      </c>
      <c r="B236" s="21">
        <v>17672.631159999997</v>
      </c>
      <c r="C236" s="21">
        <v>57709.659979999997</v>
      </c>
      <c r="D236" s="21">
        <v>618175.19130999991</v>
      </c>
      <c r="E236" s="21">
        <v>5708.2252299999991</v>
      </c>
      <c r="F236" s="21">
        <v>687849.25721999991</v>
      </c>
      <c r="G236" s="21">
        <v>3.1579999999999999</v>
      </c>
      <c r="H236" s="27">
        <v>0</v>
      </c>
      <c r="I236" s="21">
        <v>20135.22</v>
      </c>
      <c r="J236" s="27">
        <v>0</v>
      </c>
      <c r="K236" s="15">
        <v>707987.63521999994</v>
      </c>
      <c r="L236" s="30">
        <v>2037.6175799999999</v>
      </c>
      <c r="M236" s="15">
        <v>711658.24286999996</v>
      </c>
      <c r="N236" s="21">
        <v>564307</v>
      </c>
      <c r="O236" s="21">
        <v>108510</v>
      </c>
      <c r="P236" s="21">
        <v>455797</v>
      </c>
      <c r="Q236" s="21">
        <v>1163784.6352200001</v>
      </c>
      <c r="R236" s="41"/>
    </row>
    <row r="237" spans="1:18" ht="12.75" x14ac:dyDescent="0.2">
      <c r="A237" s="20" t="s">
        <v>90</v>
      </c>
      <c r="B237" s="21">
        <v>17704.822070000002</v>
      </c>
      <c r="C237" s="21">
        <v>57804.654409999996</v>
      </c>
      <c r="D237" s="21">
        <v>626759.7813700001</v>
      </c>
      <c r="E237" s="21">
        <v>2325.0516100000004</v>
      </c>
      <c r="F237" s="21">
        <v>699944.20624000009</v>
      </c>
      <c r="G237" s="21">
        <v>3.18</v>
      </c>
      <c r="H237" s="27">
        <v>0</v>
      </c>
      <c r="I237" s="21">
        <v>20267.45</v>
      </c>
      <c r="J237" s="27">
        <v>0</v>
      </c>
      <c r="K237" s="15">
        <v>720214.83624000009</v>
      </c>
      <c r="L237" s="30">
        <v>1875.7430799999997</v>
      </c>
      <c r="M237" s="15">
        <v>720664.14477000001</v>
      </c>
      <c r="N237" s="21">
        <v>565344</v>
      </c>
      <c r="O237" s="21">
        <v>83260</v>
      </c>
      <c r="P237" s="21">
        <v>482084</v>
      </c>
      <c r="Q237" s="21">
        <v>1202298.8362400001</v>
      </c>
      <c r="R237" s="41"/>
    </row>
    <row r="238" spans="1:18" ht="12.75" x14ac:dyDescent="0.2">
      <c r="A238" s="20" t="s">
        <v>91</v>
      </c>
      <c r="B238" s="21">
        <v>17643.749969999997</v>
      </c>
      <c r="C238" s="21">
        <v>130889.18635999999</v>
      </c>
      <c r="D238" s="21">
        <v>650196.49420999992</v>
      </c>
      <c r="E238" s="21">
        <v>6318.8229700000002</v>
      </c>
      <c r="F238" s="21">
        <v>792410.60756999988</v>
      </c>
      <c r="G238" s="21">
        <v>3.15</v>
      </c>
      <c r="H238" s="27">
        <v>0</v>
      </c>
      <c r="I238" s="21">
        <v>20257.23</v>
      </c>
      <c r="J238" s="27">
        <v>0</v>
      </c>
      <c r="K238" s="15">
        <v>812670.98756999988</v>
      </c>
      <c r="L238" s="30">
        <v>1782.0862</v>
      </c>
      <c r="M238" s="15">
        <v>817207.72433999984</v>
      </c>
      <c r="N238" s="21">
        <v>602260</v>
      </c>
      <c r="O238" s="21">
        <v>85620</v>
      </c>
      <c r="P238" s="21">
        <v>516640</v>
      </c>
      <c r="Q238" s="21">
        <v>1329310.9875699999</v>
      </c>
      <c r="R238" s="42"/>
    </row>
    <row r="239" spans="1:18" ht="12.75" x14ac:dyDescent="0.2">
      <c r="A239" s="20" t="s">
        <v>80</v>
      </c>
      <c r="B239" s="21">
        <v>17459.059670000002</v>
      </c>
      <c r="C239" s="21">
        <v>129474.98652999999</v>
      </c>
      <c r="D239" s="21">
        <v>658549.59977999993</v>
      </c>
      <c r="E239" s="21">
        <v>1416.5193099999997</v>
      </c>
      <c r="F239" s="21">
        <v>804067.12666999991</v>
      </c>
      <c r="G239" s="21">
        <v>3.15</v>
      </c>
      <c r="H239" s="27">
        <v>0</v>
      </c>
      <c r="I239" s="21">
        <v>20257.23</v>
      </c>
      <c r="J239" s="27">
        <v>0</v>
      </c>
      <c r="K239" s="15">
        <v>824327.50666999992</v>
      </c>
      <c r="L239" s="30">
        <v>1835.9126800000001</v>
      </c>
      <c r="M239" s="15">
        <v>823908.11329999997</v>
      </c>
      <c r="N239" s="21">
        <v>611638</v>
      </c>
      <c r="O239" s="21">
        <v>88821</v>
      </c>
      <c r="P239" s="21">
        <v>522817</v>
      </c>
      <c r="Q239" s="21">
        <v>1347144.50667</v>
      </c>
      <c r="R239" s="42"/>
    </row>
    <row r="240" spans="1:18" ht="12.75" x14ac:dyDescent="0.2">
      <c r="A240" s="20" t="s">
        <v>92</v>
      </c>
      <c r="B240" s="21">
        <v>17545.882730000001</v>
      </c>
      <c r="C240" s="21">
        <v>130073.11628</v>
      </c>
      <c r="D240" s="21">
        <v>655810.30554999993</v>
      </c>
      <c r="E240" s="21">
        <v>3452.0867800000001</v>
      </c>
      <c r="F240" s="21">
        <v>799977.21777999995</v>
      </c>
      <c r="G240" s="21">
        <v>3.15</v>
      </c>
      <c r="H240" s="27">
        <v>0</v>
      </c>
      <c r="I240" s="21">
        <v>20257.23</v>
      </c>
      <c r="J240" s="27">
        <v>0</v>
      </c>
      <c r="K240" s="15">
        <v>820237.59777999995</v>
      </c>
      <c r="L240" s="30">
        <v>1930.5820000000001</v>
      </c>
      <c r="M240" s="15">
        <v>821759.10255999991</v>
      </c>
      <c r="N240" s="21">
        <v>638248</v>
      </c>
      <c r="O240" s="21">
        <v>89015</v>
      </c>
      <c r="P240" s="21">
        <v>549233</v>
      </c>
      <c r="Q240" s="21">
        <v>1369470.59778</v>
      </c>
      <c r="R240" s="42"/>
    </row>
    <row r="241" spans="1:21" ht="12.75" x14ac:dyDescent="0.2">
      <c r="A241" s="20" t="s">
        <v>93</v>
      </c>
      <c r="B241" s="21">
        <v>17355.040989999998</v>
      </c>
      <c r="C241" s="21">
        <v>128735.55504000001</v>
      </c>
      <c r="D241" s="21">
        <v>661265.74777000013</v>
      </c>
      <c r="E241" s="21">
        <v>2882.1072599999989</v>
      </c>
      <c r="F241" s="21">
        <v>804474.23654000019</v>
      </c>
      <c r="G241" s="21">
        <v>3.14</v>
      </c>
      <c r="H241" s="27">
        <v>0</v>
      </c>
      <c r="I241" s="21">
        <v>20276.060000000001</v>
      </c>
      <c r="J241" s="27">
        <v>0</v>
      </c>
      <c r="K241" s="15">
        <v>824753.43654000026</v>
      </c>
      <c r="L241" s="30">
        <v>2145.8918600000002</v>
      </c>
      <c r="M241" s="15">
        <v>825489.65194000024</v>
      </c>
      <c r="N241" s="21">
        <v>649077</v>
      </c>
      <c r="O241" s="21">
        <v>81639</v>
      </c>
      <c r="P241" s="21">
        <v>567438</v>
      </c>
      <c r="Q241" s="21">
        <v>1392191.4365400001</v>
      </c>
      <c r="R241" s="42"/>
    </row>
    <row r="242" spans="1:21" ht="12.75" x14ac:dyDescent="0.2">
      <c r="A242" s="20" t="s">
        <v>81</v>
      </c>
      <c r="B242" s="21">
        <v>17347.393800000002</v>
      </c>
      <c r="C242" s="21">
        <v>128625.13509000001</v>
      </c>
      <c r="D242" s="21">
        <v>684180.82602000004</v>
      </c>
      <c r="E242" s="21">
        <v>2841.6543799999999</v>
      </c>
      <c r="F242" s="21">
        <v>827311.70053000003</v>
      </c>
      <c r="G242" s="21">
        <v>3.14</v>
      </c>
      <c r="H242" s="27">
        <v>0</v>
      </c>
      <c r="I242" s="21">
        <v>20194.78</v>
      </c>
      <c r="J242" s="27">
        <v>0</v>
      </c>
      <c r="K242" s="15">
        <v>847509.62053000007</v>
      </c>
      <c r="L242" s="30">
        <v>2347.7121799999995</v>
      </c>
      <c r="M242" s="15">
        <v>848003.56273000001</v>
      </c>
      <c r="N242" s="21">
        <v>683113</v>
      </c>
      <c r="O242" s="21">
        <v>86602</v>
      </c>
      <c r="P242" s="21">
        <v>596511</v>
      </c>
      <c r="Q242" s="21">
        <v>1444020.62053</v>
      </c>
      <c r="R242" s="42"/>
    </row>
    <row r="243" spans="1:21" ht="12.75" x14ac:dyDescent="0.2">
      <c r="A243" s="24">
        <v>2022</v>
      </c>
    </row>
    <row r="244" spans="1:21" ht="12.75" x14ac:dyDescent="0.2">
      <c r="A244" s="20" t="s">
        <v>86</v>
      </c>
      <c r="B244" s="21">
        <v>17261.448850000001</v>
      </c>
      <c r="C244" s="21">
        <v>127907.24459</v>
      </c>
      <c r="D244" s="21">
        <v>673858.92507999996</v>
      </c>
      <c r="E244" s="21">
        <v>2230.400419999999</v>
      </c>
      <c r="F244" s="21">
        <v>816797.21810000006</v>
      </c>
      <c r="G244" s="21">
        <v>3.14</v>
      </c>
      <c r="H244" s="27">
        <v>0</v>
      </c>
      <c r="I244" s="21">
        <v>19928.259999999998</v>
      </c>
      <c r="J244" s="27">
        <v>0</v>
      </c>
      <c r="K244" s="15">
        <v>836728.61810000008</v>
      </c>
      <c r="L244" s="30">
        <v>2566.5346399999994</v>
      </c>
      <c r="M244" s="15">
        <v>836392.48388000007</v>
      </c>
      <c r="N244" s="21">
        <v>656837</v>
      </c>
      <c r="O244" s="21">
        <v>46739</v>
      </c>
      <c r="P244" s="21">
        <v>610098</v>
      </c>
      <c r="Q244" s="21">
        <v>1446826.6181000001</v>
      </c>
      <c r="R244" s="42"/>
    </row>
    <row r="245" spans="1:21" ht="12.75" x14ac:dyDescent="0.2">
      <c r="A245" s="20" t="s">
        <v>87</v>
      </c>
      <c r="B245" s="21">
        <v>17294.460600000002</v>
      </c>
      <c r="C245" s="21">
        <v>128194.0512</v>
      </c>
      <c r="D245" s="21">
        <v>688120.12150999997</v>
      </c>
      <c r="E245" s="21">
        <v>7930.9216700000006</v>
      </c>
      <c r="F245" s="21">
        <v>825677.71163999999</v>
      </c>
      <c r="G245" s="21">
        <v>3.14</v>
      </c>
      <c r="H245" s="27">
        <v>0</v>
      </c>
      <c r="I245" s="21">
        <v>19928.259999999998</v>
      </c>
      <c r="J245" s="21">
        <v>0</v>
      </c>
      <c r="K245" s="21">
        <v>845609.11164000002</v>
      </c>
      <c r="L245" s="21">
        <v>2065.2795999999998</v>
      </c>
      <c r="M245" s="21">
        <v>851474.75370999996</v>
      </c>
      <c r="N245" s="21">
        <v>674711</v>
      </c>
      <c r="O245" s="21">
        <v>42074</v>
      </c>
      <c r="P245" s="21">
        <v>632637</v>
      </c>
      <c r="Q245" s="21">
        <v>1478246.11164</v>
      </c>
      <c r="R245" s="41"/>
    </row>
    <row r="246" spans="1:21" ht="12.75" x14ac:dyDescent="0.2">
      <c r="A246" s="20" t="s">
        <v>78</v>
      </c>
      <c r="B246" s="21">
        <v>17167.975160000002</v>
      </c>
      <c r="C246" s="21">
        <v>127048.55514</v>
      </c>
      <c r="D246" s="21">
        <v>705889.10457000008</v>
      </c>
      <c r="E246" s="21">
        <v>3809.6603</v>
      </c>
      <c r="F246" s="21">
        <v>846295.97457000008</v>
      </c>
      <c r="G246" s="21">
        <v>2.99</v>
      </c>
      <c r="H246" s="27">
        <v>0</v>
      </c>
      <c r="I246" s="21">
        <v>18822.38</v>
      </c>
      <c r="J246" s="21">
        <v>0</v>
      </c>
      <c r="K246" s="21">
        <v>865121.34457000007</v>
      </c>
      <c r="L246" s="21">
        <v>2269.9727600000001</v>
      </c>
      <c r="M246" s="21">
        <v>866661.03211000003</v>
      </c>
      <c r="N246" s="21">
        <v>682793</v>
      </c>
      <c r="O246" s="21">
        <v>35062</v>
      </c>
      <c r="P246" s="21">
        <v>647731</v>
      </c>
      <c r="Q246" s="21">
        <v>1512852.3445700002</v>
      </c>
      <c r="R246" s="41"/>
    </row>
    <row r="247" spans="1:21" ht="12.75" x14ac:dyDescent="0.2">
      <c r="A247" s="20" t="s">
        <v>88</v>
      </c>
      <c r="B247" s="21">
        <v>16739.631990000002</v>
      </c>
      <c r="C247" s="21">
        <v>123547.32029999999</v>
      </c>
      <c r="D247" s="21">
        <v>687048.22962000011</v>
      </c>
      <c r="E247" s="21">
        <v>2186.8035099999988</v>
      </c>
      <c r="F247" s="21">
        <v>825148.37840000005</v>
      </c>
      <c r="G247" s="21">
        <v>2.99</v>
      </c>
      <c r="H247" s="27">
        <v>0</v>
      </c>
      <c r="I247" s="21">
        <v>18822.38</v>
      </c>
      <c r="J247" s="21">
        <v>0</v>
      </c>
      <c r="K247" s="21">
        <v>843973.74840000004</v>
      </c>
      <c r="L247" s="21">
        <v>2590.4100800000001</v>
      </c>
      <c r="M247" s="21">
        <v>843570.1418300001</v>
      </c>
      <c r="N247" s="21">
        <v>723600</v>
      </c>
      <c r="O247" s="21">
        <v>35291</v>
      </c>
      <c r="P247" s="21">
        <v>688309</v>
      </c>
      <c r="Q247" s="21">
        <v>1532282.7483999999</v>
      </c>
      <c r="R247" s="41"/>
    </row>
    <row r="248" spans="1:21" ht="13.5" customHeight="1" x14ac:dyDescent="0.2">
      <c r="A248" s="20" t="s">
        <v>89</v>
      </c>
      <c r="B248" s="21">
        <v>16776.140149999999</v>
      </c>
      <c r="C248" s="21">
        <v>100840.80781999999</v>
      </c>
      <c r="D248" s="21">
        <v>771888.55954000016</v>
      </c>
      <c r="E248" s="21">
        <v>5094.0897199999999</v>
      </c>
      <c r="F248" s="21">
        <v>884411.41779000009</v>
      </c>
      <c r="G248" s="21">
        <v>2.86</v>
      </c>
      <c r="H248" s="27">
        <v>0</v>
      </c>
      <c r="I248" s="21">
        <v>18851.52</v>
      </c>
      <c r="J248" s="21">
        <v>0</v>
      </c>
      <c r="K248" s="21">
        <v>903265.7977900001</v>
      </c>
      <c r="L248" s="21">
        <v>2661.33878</v>
      </c>
      <c r="M248" s="21">
        <v>905698.54873000016</v>
      </c>
      <c r="N248" s="21">
        <v>700474</v>
      </c>
      <c r="O248" s="21">
        <v>31510</v>
      </c>
      <c r="P248" s="21">
        <v>668964</v>
      </c>
      <c r="Q248" s="21">
        <v>1572229.7977900002</v>
      </c>
      <c r="R248" s="41"/>
    </row>
    <row r="249" spans="1:21" ht="12.75" x14ac:dyDescent="0.2">
      <c r="A249" s="20" t="s">
        <v>79</v>
      </c>
      <c r="B249" s="21">
        <v>16575.984410000001</v>
      </c>
      <c r="C249" s="21">
        <v>99203.16326999999</v>
      </c>
      <c r="D249" s="21">
        <v>781465.87901000015</v>
      </c>
      <c r="E249" s="21">
        <v>1843.1117299999996</v>
      </c>
      <c r="F249" s="21">
        <v>895401.9149600002</v>
      </c>
      <c r="G249" s="21">
        <v>2.78</v>
      </c>
      <c r="H249" s="27">
        <v>0</v>
      </c>
      <c r="I249" s="21">
        <v>18742.5</v>
      </c>
      <c r="J249" s="21">
        <v>0</v>
      </c>
      <c r="K249" s="21">
        <v>914147.19496000023</v>
      </c>
      <c r="L249" s="21">
        <v>2965.4812999999999</v>
      </c>
      <c r="M249" s="21">
        <v>913024.82539000025</v>
      </c>
      <c r="N249" s="21">
        <v>691646</v>
      </c>
      <c r="O249" s="21">
        <v>32469</v>
      </c>
      <c r="P249" s="21">
        <v>659177</v>
      </c>
      <c r="Q249" s="21">
        <v>1573324.1949600002</v>
      </c>
      <c r="U249" s="44"/>
    </row>
    <row r="250" spans="1:21" ht="12.75" x14ac:dyDescent="0.2">
      <c r="A250" s="20" t="s">
        <v>90</v>
      </c>
      <c r="B250" s="21">
        <v>16637.199000000001</v>
      </c>
      <c r="C250" s="21">
        <v>98890.63682</v>
      </c>
      <c r="D250" s="21">
        <v>786519.78657</v>
      </c>
      <c r="E250" s="21">
        <v>6751.8366699999988</v>
      </c>
      <c r="F250" s="21">
        <v>895295.78572000004</v>
      </c>
      <c r="G250" s="21">
        <v>2.76</v>
      </c>
      <c r="H250" s="27">
        <v>0</v>
      </c>
      <c r="I250" s="21">
        <v>19007.46</v>
      </c>
      <c r="J250" s="21">
        <v>0</v>
      </c>
      <c r="K250" s="21">
        <v>914306.00572000002</v>
      </c>
      <c r="L250" s="21">
        <v>3353.6857399999999</v>
      </c>
      <c r="M250" s="21">
        <v>917704.15665000002</v>
      </c>
      <c r="N250" s="21">
        <v>676151</v>
      </c>
      <c r="O250" s="21">
        <v>28148</v>
      </c>
      <c r="P250" s="21">
        <v>648003</v>
      </c>
      <c r="Q250" s="21">
        <v>1562309.00572</v>
      </c>
      <c r="R250" s="41"/>
    </row>
    <row r="251" spans="1:21" ht="12.75" x14ac:dyDescent="0.2">
      <c r="A251" s="20" t="s">
        <v>91</v>
      </c>
      <c r="B251" s="21">
        <v>16257.91546</v>
      </c>
      <c r="C251" s="21">
        <v>97229.691449999998</v>
      </c>
      <c r="D251" s="21">
        <v>815349.12180000008</v>
      </c>
      <c r="E251" s="21">
        <v>1990.2725200000004</v>
      </c>
      <c r="F251" s="21">
        <v>926846.45619000006</v>
      </c>
      <c r="G251" s="21">
        <v>2.65</v>
      </c>
      <c r="H251" s="27">
        <v>0</v>
      </c>
      <c r="I251" s="21">
        <v>18565.849999999999</v>
      </c>
      <c r="J251" s="21">
        <v>0</v>
      </c>
      <c r="K251" s="21">
        <v>945414.95619000006</v>
      </c>
      <c r="L251" s="21">
        <v>2888.1472799999997</v>
      </c>
      <c r="M251" s="21">
        <v>944517.08143000002</v>
      </c>
      <c r="N251" s="21">
        <v>649992</v>
      </c>
      <c r="O251" s="21">
        <v>24028</v>
      </c>
      <c r="P251" s="21">
        <v>625964</v>
      </c>
      <c r="Q251" s="21">
        <v>1571378.9561900001</v>
      </c>
    </row>
    <row r="252" spans="1:21" ht="12.75" x14ac:dyDescent="0.2">
      <c r="A252" s="20" t="s">
        <v>80</v>
      </c>
      <c r="B252" s="21">
        <v>16152.043280000002</v>
      </c>
      <c r="C252" s="21">
        <v>95626.013019999999</v>
      </c>
      <c r="D252" s="21">
        <v>826602.67444000021</v>
      </c>
      <c r="E252" s="21">
        <v>2110.6946499999995</v>
      </c>
      <c r="F252" s="21">
        <v>936270.0360900003</v>
      </c>
      <c r="G252" s="21">
        <v>2.54</v>
      </c>
      <c r="H252" s="21">
        <v>0</v>
      </c>
      <c r="I252" s="21">
        <v>18028.150000000001</v>
      </c>
      <c r="J252" s="21">
        <v>0</v>
      </c>
      <c r="K252" s="21">
        <v>954300.72609000036</v>
      </c>
      <c r="L252" s="21">
        <v>3234.7410800000002</v>
      </c>
      <c r="M252" s="21">
        <v>953176.67966000037</v>
      </c>
      <c r="N252" s="21">
        <v>586539</v>
      </c>
      <c r="O252" s="21">
        <v>27199</v>
      </c>
      <c r="P252" s="21">
        <v>559340</v>
      </c>
      <c r="Q252" s="21">
        <v>1513640.7260900005</v>
      </c>
    </row>
    <row r="253" spans="1:21" ht="12.75" x14ac:dyDescent="0.2">
      <c r="A253" s="20" t="s">
        <v>92</v>
      </c>
      <c r="B253" s="21">
        <v>16403.763330000002</v>
      </c>
      <c r="C253" s="21">
        <v>95881.014629999991</v>
      </c>
      <c r="D253" s="21">
        <v>807666.48930000002</v>
      </c>
      <c r="E253" s="21">
        <v>5767.9441599999991</v>
      </c>
      <c r="F253" s="21">
        <v>914183.32310000004</v>
      </c>
      <c r="G253" s="21">
        <v>2.62</v>
      </c>
      <c r="H253" s="21">
        <v>0</v>
      </c>
      <c r="I253" s="21">
        <v>17815.189999999999</v>
      </c>
      <c r="J253" s="21">
        <v>0</v>
      </c>
      <c r="K253" s="21">
        <v>932001.13309999998</v>
      </c>
      <c r="L253" s="21">
        <v>3642.0712000000003</v>
      </c>
      <c r="M253" s="21">
        <v>934127.00605999993</v>
      </c>
      <c r="N253" s="21">
        <v>563252</v>
      </c>
      <c r="O253" s="21">
        <v>27155</v>
      </c>
      <c r="P253" s="21">
        <v>536097</v>
      </c>
      <c r="Q253" s="21">
        <v>1468098.1331</v>
      </c>
    </row>
    <row r="254" spans="1:21" ht="12.75" x14ac:dyDescent="0.2">
      <c r="A254" s="20" t="s">
        <v>93</v>
      </c>
      <c r="B254" s="21">
        <v>16528.819909999998</v>
      </c>
      <c r="C254" s="21">
        <v>98228.523990000002</v>
      </c>
      <c r="D254" s="21">
        <v>822129.50361999986</v>
      </c>
      <c r="E254" s="21">
        <v>2658.4250000000011</v>
      </c>
      <c r="F254" s="21">
        <v>934228.42251999979</v>
      </c>
      <c r="G254" s="21">
        <v>2.86</v>
      </c>
      <c r="H254" s="21">
        <v>0</v>
      </c>
      <c r="I254" s="21">
        <v>18272.23</v>
      </c>
      <c r="J254" s="21">
        <v>0</v>
      </c>
      <c r="K254" s="21">
        <v>952503.51251999976</v>
      </c>
      <c r="L254" s="21">
        <v>3509.3841399999997</v>
      </c>
      <c r="M254" s="21">
        <v>951652.55337999982</v>
      </c>
      <c r="N254" s="21">
        <v>570698</v>
      </c>
      <c r="O254" s="21">
        <v>23365</v>
      </c>
      <c r="P254" s="21">
        <v>547333</v>
      </c>
      <c r="Q254" s="21">
        <v>1499836.5125199999</v>
      </c>
    </row>
    <row r="255" spans="1:21" ht="12.75" x14ac:dyDescent="0.2">
      <c r="A255" s="20" t="s">
        <v>81</v>
      </c>
      <c r="B255" s="21">
        <v>17004.473269999999</v>
      </c>
      <c r="C255" s="21">
        <v>99424.030790000004</v>
      </c>
      <c r="D255" s="21">
        <v>834121.00899</v>
      </c>
      <c r="E255" s="21">
        <v>2735.0339599999998</v>
      </c>
      <c r="F255" s="21">
        <v>947814.47908999992</v>
      </c>
      <c r="G255" s="21">
        <v>2.86</v>
      </c>
      <c r="H255" s="21">
        <v>0</v>
      </c>
      <c r="I255" s="21">
        <v>18141.02</v>
      </c>
      <c r="J255" s="21">
        <v>0</v>
      </c>
      <c r="K255" s="21">
        <v>965958.35908999993</v>
      </c>
      <c r="L255" s="21">
        <v>4646.3988800000006</v>
      </c>
      <c r="M255" s="21">
        <v>964046.99416999996</v>
      </c>
      <c r="N255" s="21">
        <v>576868</v>
      </c>
      <c r="O255" s="21">
        <v>24086</v>
      </c>
      <c r="P255" s="21">
        <v>552782</v>
      </c>
      <c r="Q255" s="21">
        <v>1518740.3590899999</v>
      </c>
    </row>
    <row r="256" spans="1:21" ht="12.75" x14ac:dyDescent="0.2">
      <c r="A256" s="24">
        <v>2023</v>
      </c>
    </row>
    <row r="257" spans="1:21" ht="12.75" x14ac:dyDescent="0.2">
      <c r="A257" s="43" t="s">
        <v>86</v>
      </c>
      <c r="B257" s="21">
        <v>17534.737330000004</v>
      </c>
      <c r="C257" s="21">
        <v>100740.71316</v>
      </c>
      <c r="D257" s="21">
        <v>827686.42195999995</v>
      </c>
      <c r="E257" s="21">
        <v>1393.4299500000002</v>
      </c>
      <c r="F257" s="21">
        <v>944568.44249999989</v>
      </c>
      <c r="G257" s="21">
        <v>2.86</v>
      </c>
      <c r="H257" s="21">
        <v>0</v>
      </c>
      <c r="I257" s="21">
        <v>18531.689999999999</v>
      </c>
      <c r="J257" s="21">
        <v>0</v>
      </c>
      <c r="K257" s="21">
        <v>963102.99249999982</v>
      </c>
      <c r="L257" s="21">
        <v>5117.3239000000003</v>
      </c>
      <c r="M257" s="21">
        <v>959379.09854999988</v>
      </c>
      <c r="N257" s="21">
        <v>655237</v>
      </c>
      <c r="O257" s="21">
        <v>28734</v>
      </c>
      <c r="P257" s="21">
        <v>626503</v>
      </c>
      <c r="Q257" s="21">
        <v>1589605.9924999997</v>
      </c>
    </row>
    <row r="258" spans="1:21" ht="12.75" x14ac:dyDescent="0.2">
      <c r="A258" s="43" t="s">
        <v>87</v>
      </c>
      <c r="B258" s="21">
        <v>16748.26225</v>
      </c>
      <c r="C258" s="21">
        <v>99255.083959999989</v>
      </c>
      <c r="D258" s="21">
        <v>843334.21449000004</v>
      </c>
      <c r="E258" s="21">
        <v>6217.4033999999992</v>
      </c>
      <c r="F258" s="21">
        <v>953120.15730000008</v>
      </c>
      <c r="G258" s="21">
        <v>2.86</v>
      </c>
      <c r="H258" s="21">
        <v>0</v>
      </c>
      <c r="I258" s="21">
        <v>18851.52</v>
      </c>
      <c r="J258" s="21">
        <v>0</v>
      </c>
      <c r="K258" s="21">
        <v>971974.53730000008</v>
      </c>
      <c r="L258" s="21">
        <v>5082.7793800000009</v>
      </c>
      <c r="M258" s="21">
        <v>973109.16132000007</v>
      </c>
      <c r="N258" s="21">
        <v>694890</v>
      </c>
      <c r="O258" s="21">
        <v>22055</v>
      </c>
      <c r="P258" s="21">
        <v>672835</v>
      </c>
      <c r="Q258" s="21">
        <v>1644809.5373</v>
      </c>
    </row>
    <row r="259" spans="1:21" ht="12.75" x14ac:dyDescent="0.2">
      <c r="A259" s="43" t="s">
        <v>78</v>
      </c>
      <c r="B259" s="21">
        <v>17294.493169999998</v>
      </c>
      <c r="C259" s="21">
        <v>100483.46119</v>
      </c>
      <c r="D259" s="21">
        <v>860260.07460000005</v>
      </c>
      <c r="E259" s="21">
        <v>4622.1090599999998</v>
      </c>
      <c r="F259" s="21">
        <v>973415.91989999998</v>
      </c>
      <c r="G259" s="21">
        <v>2.86</v>
      </c>
      <c r="H259" s="21">
        <v>0</v>
      </c>
      <c r="I259" s="21">
        <v>18708.72</v>
      </c>
      <c r="J259" s="21">
        <v>0</v>
      </c>
      <c r="K259" s="21">
        <v>992127.49989999994</v>
      </c>
      <c r="L259" s="21">
        <v>4331.2317400000002</v>
      </c>
      <c r="M259" s="21">
        <v>992418.37722000002</v>
      </c>
      <c r="N259" s="21">
        <v>725002</v>
      </c>
      <c r="O259" s="21">
        <v>23460</v>
      </c>
      <c r="P259" s="21">
        <v>701542</v>
      </c>
      <c r="Q259" s="21">
        <v>1693669.4998999999</v>
      </c>
    </row>
    <row r="260" spans="1:21" ht="12.75" x14ac:dyDescent="0.2">
      <c r="A260" s="43" t="s">
        <v>88</v>
      </c>
      <c r="B260" s="21">
        <v>17657.011900000001</v>
      </c>
      <c r="C260" s="21">
        <v>100616.23349</v>
      </c>
      <c r="D260" s="21">
        <v>835482.83663999999</v>
      </c>
      <c r="E260" s="21">
        <v>3283.2535499999999</v>
      </c>
      <c r="F260" s="21">
        <v>950472.82847999991</v>
      </c>
      <c r="G260" s="21">
        <v>2.86</v>
      </c>
      <c r="H260" s="21">
        <v>0</v>
      </c>
      <c r="I260" s="21">
        <v>18769.3</v>
      </c>
      <c r="J260" s="21">
        <v>0</v>
      </c>
      <c r="K260" s="21">
        <v>969244.98847999994</v>
      </c>
      <c r="L260" s="21">
        <v>5070.35538</v>
      </c>
      <c r="M260" s="21">
        <v>967457.88665</v>
      </c>
      <c r="N260" s="21">
        <v>758196</v>
      </c>
      <c r="O260" s="21">
        <v>25277</v>
      </c>
      <c r="P260" s="21">
        <v>732919</v>
      </c>
      <c r="Q260" s="21">
        <v>1702163.9884799998</v>
      </c>
    </row>
    <row r="261" spans="1:21" ht="12.75" x14ac:dyDescent="0.2">
      <c r="A261" s="43" t="s">
        <v>89</v>
      </c>
      <c r="B261" s="21">
        <v>16803.209220000004</v>
      </c>
      <c r="C261" s="21">
        <v>99137.018650000013</v>
      </c>
      <c r="D261" s="21">
        <v>921919.40237999998</v>
      </c>
      <c r="E261" s="21">
        <v>1431.9794699999998</v>
      </c>
      <c r="F261" s="21">
        <v>1036427.65078</v>
      </c>
      <c r="G261" s="21">
        <v>2.86</v>
      </c>
      <c r="H261" s="21">
        <v>0</v>
      </c>
      <c r="I261" s="21">
        <v>18579.71</v>
      </c>
      <c r="J261" s="21">
        <v>0</v>
      </c>
      <c r="K261" s="21">
        <v>1055010.2207800001</v>
      </c>
      <c r="L261" s="21">
        <v>4831.4711200000002</v>
      </c>
      <c r="M261" s="21">
        <v>1051610.7291300001</v>
      </c>
      <c r="N261" s="21">
        <v>778797</v>
      </c>
      <c r="O261" s="21">
        <v>23775</v>
      </c>
      <c r="P261" s="21">
        <v>755022</v>
      </c>
      <c r="Q261" s="21">
        <v>1810032.2207800001</v>
      </c>
    </row>
    <row r="262" spans="1:21" ht="12.75" x14ac:dyDescent="0.2">
      <c r="A262" s="43" t="s">
        <v>79</v>
      </c>
      <c r="B262" s="21">
        <v>17197.888739999999</v>
      </c>
      <c r="C262" s="21">
        <v>99331.937390000006</v>
      </c>
      <c r="D262" s="21">
        <v>915230.68741000013</v>
      </c>
      <c r="E262" s="21">
        <v>1651.3135799999991</v>
      </c>
      <c r="F262" s="21">
        <v>1030109.1999600002</v>
      </c>
      <c r="G262" s="21">
        <v>2.86</v>
      </c>
      <c r="H262" s="21">
        <v>0</v>
      </c>
      <c r="I262" s="21">
        <v>18493.63</v>
      </c>
      <c r="J262" s="21">
        <v>0</v>
      </c>
      <c r="K262" s="21">
        <v>1048605.6899600001</v>
      </c>
      <c r="L262" s="21">
        <v>4393.4828399999997</v>
      </c>
      <c r="M262" s="21">
        <v>1045863.5207000002</v>
      </c>
      <c r="N262" s="21">
        <v>760642</v>
      </c>
      <c r="O262" s="21">
        <v>22757</v>
      </c>
      <c r="P262" s="21">
        <v>737885</v>
      </c>
      <c r="Q262" s="21">
        <v>1786490.6899600001</v>
      </c>
      <c r="U262" s="44"/>
    </row>
    <row r="263" spans="1:21" ht="12.75" x14ac:dyDescent="0.2">
      <c r="A263" s="43" t="s">
        <v>90</v>
      </c>
      <c r="B263" s="21">
        <v>17758.306710000001</v>
      </c>
      <c r="C263" s="21">
        <v>100301.00469</v>
      </c>
      <c r="D263" s="21">
        <v>916296.9777200002</v>
      </c>
      <c r="E263" s="21">
        <v>5324.4651400000012</v>
      </c>
      <c r="F263" s="21">
        <v>1029031.8239800002</v>
      </c>
      <c r="G263" s="21">
        <v>2.86</v>
      </c>
      <c r="H263" s="21">
        <v>0</v>
      </c>
      <c r="I263" s="21">
        <v>18424.88</v>
      </c>
      <c r="J263" s="21">
        <v>0</v>
      </c>
      <c r="K263" s="21">
        <v>1047459.5639800002</v>
      </c>
      <c r="L263" s="21">
        <v>4872.8282399999998</v>
      </c>
      <c r="M263" s="21">
        <v>1047911.2008800001</v>
      </c>
      <c r="N263" s="21">
        <v>743490</v>
      </c>
      <c r="O263" s="21">
        <v>24976</v>
      </c>
      <c r="P263" s="21">
        <v>718514</v>
      </c>
      <c r="Q263" s="21">
        <v>1765973.5639800001</v>
      </c>
    </row>
    <row r="264" spans="1:21" ht="12.75" x14ac:dyDescent="0.2">
      <c r="A264" s="43" t="s">
        <v>91</v>
      </c>
      <c r="B264" s="21">
        <v>16861.3298</v>
      </c>
      <c r="C264" s="21">
        <v>99301.122019999995</v>
      </c>
      <c r="D264" s="21">
        <v>898376.95663999999</v>
      </c>
      <c r="E264" s="21">
        <v>4053.8546499999993</v>
      </c>
      <c r="F264" s="21">
        <v>1010485.55381</v>
      </c>
      <c r="G264" s="21">
        <v>2.86</v>
      </c>
      <c r="H264" s="21">
        <v>0</v>
      </c>
      <c r="I264" s="21">
        <v>18334.64</v>
      </c>
      <c r="J264" s="21">
        <v>0</v>
      </c>
      <c r="K264" s="21">
        <v>1028823.05381</v>
      </c>
      <c r="L264" s="21">
        <v>4321.0409200000004</v>
      </c>
      <c r="M264" s="21">
        <v>1028555.8675399999</v>
      </c>
      <c r="N264" s="21">
        <v>736142</v>
      </c>
      <c r="O264" s="21">
        <v>23572</v>
      </c>
      <c r="P264" s="21">
        <v>712570</v>
      </c>
      <c r="Q264" s="21">
        <v>1741393.05381</v>
      </c>
    </row>
    <row r="265" spans="1:21" ht="12.75" x14ac:dyDescent="0.2">
      <c r="A265" s="20" t="s">
        <v>80</v>
      </c>
      <c r="B265" s="21">
        <v>17050.079980000002</v>
      </c>
      <c r="C265" s="21">
        <v>98183.785499999998</v>
      </c>
      <c r="D265" s="21">
        <v>919684.41658999992</v>
      </c>
      <c r="E265" s="21">
        <v>2653.2273999999993</v>
      </c>
      <c r="F265" s="21">
        <v>1032265.05467</v>
      </c>
      <c r="G265" s="21">
        <v>2.86</v>
      </c>
      <c r="H265" s="21">
        <v>0</v>
      </c>
      <c r="I265" s="21">
        <v>17995.73</v>
      </c>
      <c r="J265" s="21">
        <v>0</v>
      </c>
      <c r="K265" s="21">
        <v>1050263.6446700001</v>
      </c>
      <c r="L265" s="21">
        <v>5417.0477199999996</v>
      </c>
      <c r="M265" s="21">
        <v>1047499.82435</v>
      </c>
      <c r="N265" s="21">
        <v>713870</v>
      </c>
      <c r="O265" s="21">
        <v>26112</v>
      </c>
      <c r="P265" s="21">
        <v>687758</v>
      </c>
      <c r="Q265" s="21">
        <v>1738021.6446700001</v>
      </c>
    </row>
    <row r="266" spans="1:21" ht="12.75" x14ac:dyDescent="0.2">
      <c r="A266" s="20" t="s">
        <v>92</v>
      </c>
      <c r="B266" s="21">
        <v>17435.876350000002</v>
      </c>
      <c r="C266" s="21">
        <v>98121.066219999993</v>
      </c>
      <c r="D266" s="21">
        <v>893537.39581999986</v>
      </c>
      <c r="E266" s="21">
        <v>2916.4757100000002</v>
      </c>
      <c r="F266" s="21">
        <v>1006177.8626799998</v>
      </c>
      <c r="G266" s="21">
        <v>2.86</v>
      </c>
      <c r="H266" s="21">
        <v>0</v>
      </c>
      <c r="I266" s="21">
        <v>17732.169999999998</v>
      </c>
      <c r="J266" s="21">
        <v>0</v>
      </c>
      <c r="K266" s="21">
        <v>1023912.8926799998</v>
      </c>
      <c r="L266" s="21">
        <v>4856.4905799999997</v>
      </c>
      <c r="M266" s="21">
        <v>1021972.8778099999</v>
      </c>
      <c r="N266" s="21">
        <v>679524</v>
      </c>
      <c r="O266" s="21">
        <v>25446</v>
      </c>
      <c r="P266" s="21">
        <v>654078</v>
      </c>
      <c r="Q266" s="21">
        <v>1677990.8926799998</v>
      </c>
    </row>
    <row r="267" spans="1:21" ht="12.75" x14ac:dyDescent="0.2">
      <c r="A267" s="20" t="s">
        <v>93</v>
      </c>
      <c r="B267" s="21">
        <v>16903.601559999999</v>
      </c>
      <c r="C267" s="21">
        <v>99528.535950000005</v>
      </c>
      <c r="D267" s="21">
        <v>900723.74949999992</v>
      </c>
      <c r="E267" s="21">
        <v>2634.8835300000001</v>
      </c>
      <c r="F267" s="21">
        <v>1014521.00348</v>
      </c>
      <c r="G267" s="21">
        <v>2.86</v>
      </c>
      <c r="H267" s="21">
        <v>0</v>
      </c>
      <c r="I267" s="21">
        <v>18362.68</v>
      </c>
      <c r="J267" s="21">
        <v>0</v>
      </c>
      <c r="K267" s="21">
        <v>1032886.54348</v>
      </c>
      <c r="L267" s="21">
        <v>4909.3009200000006</v>
      </c>
      <c r="M267" s="21">
        <v>1030612.12609</v>
      </c>
      <c r="N267" s="21">
        <v>633248</v>
      </c>
      <c r="O267" s="21">
        <v>21461</v>
      </c>
      <c r="P267" s="21">
        <v>611787</v>
      </c>
      <c r="Q267" s="21">
        <v>1644673.54348</v>
      </c>
    </row>
    <row r="268" spans="1:21" ht="12.75" x14ac:dyDescent="0.2">
      <c r="A268" s="20" t="s">
        <v>81</v>
      </c>
      <c r="B268" s="21">
        <v>17412.334350000001</v>
      </c>
      <c r="C268" s="21">
        <v>100154.39920999999</v>
      </c>
      <c r="D268" s="21">
        <v>815041.65729000012</v>
      </c>
      <c r="E268" s="21">
        <v>2694.1663099999996</v>
      </c>
      <c r="F268" s="21">
        <v>929914.22454000008</v>
      </c>
      <c r="G268" s="21">
        <v>2.86</v>
      </c>
      <c r="H268" s="21">
        <v>0</v>
      </c>
      <c r="I268" s="21">
        <v>18927.96</v>
      </c>
      <c r="J268" s="21">
        <v>0</v>
      </c>
      <c r="K268" s="21">
        <v>948845.04454000003</v>
      </c>
      <c r="L268" s="21">
        <v>4310.5036</v>
      </c>
      <c r="M268" s="21">
        <v>947228.70724999998</v>
      </c>
      <c r="N268" s="21">
        <v>710141</v>
      </c>
      <c r="O268" s="21">
        <v>59026</v>
      </c>
      <c r="P268" s="21">
        <v>651115</v>
      </c>
      <c r="Q268" s="21">
        <v>1599960.0445400001</v>
      </c>
    </row>
    <row r="269" spans="1:21" ht="12.75" x14ac:dyDescent="0.2">
      <c r="A269" s="24">
        <v>2024</v>
      </c>
    </row>
    <row r="270" spans="1:21" ht="12.75" x14ac:dyDescent="0.2">
      <c r="A270" s="43" t="s">
        <v>86</v>
      </c>
      <c r="B270" s="21">
        <v>17652.99324</v>
      </c>
      <c r="C270" s="21">
        <v>99274.659750000006</v>
      </c>
      <c r="D270" s="21">
        <v>804802.52715999994</v>
      </c>
      <c r="E270" s="21">
        <v>2062.8176800000006</v>
      </c>
      <c r="F270" s="21">
        <v>919667.36246999993</v>
      </c>
      <c r="G270" s="21">
        <v>2.86</v>
      </c>
      <c r="H270" s="21">
        <v>0</v>
      </c>
      <c r="I270" s="21">
        <v>18893.45</v>
      </c>
      <c r="J270" s="21">
        <v>0</v>
      </c>
      <c r="K270" s="21">
        <v>938563.67246999987</v>
      </c>
      <c r="L270" s="21">
        <v>3975.3498400000003</v>
      </c>
      <c r="M270" s="21">
        <v>936651.14030999981</v>
      </c>
      <c r="N270" s="21">
        <v>770514</v>
      </c>
      <c r="O270" s="21">
        <v>62918</v>
      </c>
      <c r="P270" s="21">
        <v>707596</v>
      </c>
      <c r="Q270" s="21">
        <v>1646159.6724699999</v>
      </c>
    </row>
    <row r="271" spans="1:21" ht="12.75" x14ac:dyDescent="0.2">
      <c r="A271" s="43" t="s">
        <v>87</v>
      </c>
      <c r="B271" s="21">
        <v>16811.063440000002</v>
      </c>
      <c r="C271" s="21">
        <v>99078.894659999991</v>
      </c>
      <c r="D271" s="21">
        <v>810017.71594999998</v>
      </c>
      <c r="E271" s="21">
        <v>1064.6824799999995</v>
      </c>
      <c r="F271" s="21">
        <v>924842.99157000007</v>
      </c>
      <c r="G271" s="21">
        <v>2.86</v>
      </c>
      <c r="H271" s="21">
        <v>0</v>
      </c>
      <c r="I271" s="21">
        <v>18640.47</v>
      </c>
      <c r="J271" s="21">
        <v>0</v>
      </c>
      <c r="K271" s="21">
        <v>943486.32157000003</v>
      </c>
      <c r="L271" s="21">
        <v>3640.5927999999999</v>
      </c>
      <c r="M271" s="21">
        <v>940910.41125</v>
      </c>
      <c r="N271" s="21">
        <v>833209</v>
      </c>
      <c r="O271" s="21">
        <v>64497</v>
      </c>
      <c r="P271" s="21">
        <v>768712</v>
      </c>
      <c r="Q271" s="21">
        <v>1712198.3215700001</v>
      </c>
    </row>
    <row r="272" spans="1:21" ht="12.75" x14ac:dyDescent="0.2">
      <c r="A272" s="43" t="s">
        <v>78</v>
      </c>
      <c r="B272" s="21">
        <v>17151.404269999999</v>
      </c>
      <c r="C272" s="21">
        <v>98770.25370999999</v>
      </c>
      <c r="D272" s="21">
        <v>819545.8526199999</v>
      </c>
      <c r="E272" s="21">
        <v>2253.2234400000002</v>
      </c>
      <c r="F272" s="21">
        <v>933214.28715999995</v>
      </c>
      <c r="G272" s="21">
        <v>2.86</v>
      </c>
      <c r="H272" s="21">
        <v>0</v>
      </c>
      <c r="I272" s="21">
        <v>18748.349999999999</v>
      </c>
      <c r="J272" s="21">
        <v>0</v>
      </c>
      <c r="K272" s="21">
        <v>951965.49715999991</v>
      </c>
      <c r="L272" s="21">
        <v>4588.5812800000003</v>
      </c>
      <c r="M272" s="21">
        <v>949630.13931999984</v>
      </c>
      <c r="N272" s="21">
        <v>921415</v>
      </c>
      <c r="O272" s="21">
        <v>62631</v>
      </c>
      <c r="P272" s="21">
        <v>858784</v>
      </c>
      <c r="Q272" s="21">
        <v>1810749.4971599998</v>
      </c>
      <c r="R272" s="21"/>
    </row>
    <row r="273" spans="1:21" ht="12.75" x14ac:dyDescent="0.2">
      <c r="A273" s="43" t="s">
        <v>88</v>
      </c>
      <c r="B273" s="21">
        <v>17457.454939999996</v>
      </c>
      <c r="C273" s="21">
        <v>98359.814610000001</v>
      </c>
      <c r="D273" s="21">
        <v>831129.08473999985</v>
      </c>
      <c r="E273" s="21">
        <v>1473.1930100000006</v>
      </c>
      <c r="F273" s="21">
        <v>945473.16127999977</v>
      </c>
      <c r="G273" s="21">
        <v>2.86</v>
      </c>
      <c r="H273" s="21">
        <v>0</v>
      </c>
      <c r="I273" s="21">
        <v>18748.349999999999</v>
      </c>
      <c r="J273" s="21">
        <v>0</v>
      </c>
      <c r="K273" s="21">
        <v>964224.37127999973</v>
      </c>
      <c r="L273" s="21">
        <v>3877.5301600000003</v>
      </c>
      <c r="M273" s="21">
        <v>961820.03412999981</v>
      </c>
      <c r="N273" s="21">
        <v>973329</v>
      </c>
      <c r="O273" s="21">
        <v>63373</v>
      </c>
      <c r="P273" s="21">
        <v>909956</v>
      </c>
      <c r="Q273" s="21">
        <v>1874180.3712799996</v>
      </c>
    </row>
    <row r="274" spans="1:21" ht="12.75" x14ac:dyDescent="0.2">
      <c r="A274" s="43" t="s">
        <v>89</v>
      </c>
      <c r="B274" s="21">
        <v>16783.898650000003</v>
      </c>
      <c r="C274" s="21">
        <v>98756.405140000003</v>
      </c>
      <c r="D274" s="21">
        <v>905144.02858000004</v>
      </c>
      <c r="E274" s="21">
        <v>1469.4642199999998</v>
      </c>
      <c r="F274" s="21">
        <v>1019214.8681500001</v>
      </c>
      <c r="G274" s="21">
        <v>2.86</v>
      </c>
      <c r="H274" s="21">
        <v>0</v>
      </c>
      <c r="I274" s="21">
        <v>18748.349999999999</v>
      </c>
      <c r="J274" s="21">
        <v>0</v>
      </c>
      <c r="K274" s="21">
        <v>1037966.0781500001</v>
      </c>
      <c r="L274" s="21">
        <v>3981.4465399999999</v>
      </c>
      <c r="M274" s="21">
        <v>1035454.09583</v>
      </c>
      <c r="N274" s="21">
        <v>1041530</v>
      </c>
      <c r="O274" s="21">
        <v>60478</v>
      </c>
      <c r="P274" s="21">
        <v>981052</v>
      </c>
      <c r="Q274" s="21">
        <v>2019018.07815</v>
      </c>
    </row>
    <row r="275" spans="1:21" ht="12.75" x14ac:dyDescent="0.2">
      <c r="A275" s="43" t="s">
        <v>79</v>
      </c>
      <c r="B275" s="21">
        <v>17052.410210000002</v>
      </c>
      <c r="C275" s="21">
        <v>98144.09577</v>
      </c>
      <c r="D275" s="21">
        <v>902387.02443999995</v>
      </c>
      <c r="E275" s="21">
        <v>2939.2284300000006</v>
      </c>
      <c r="F275" s="21">
        <v>1014644.3019899999</v>
      </c>
      <c r="G275" s="21">
        <v>2.86</v>
      </c>
      <c r="H275" s="21">
        <v>0</v>
      </c>
      <c r="I275" s="21">
        <v>18748.349999999999</v>
      </c>
      <c r="J275" s="21">
        <v>0</v>
      </c>
      <c r="K275" s="21">
        <v>1033395.5119899999</v>
      </c>
      <c r="L275" s="21">
        <v>5226.1802800000005</v>
      </c>
      <c r="M275" s="21">
        <v>1031108.56014</v>
      </c>
      <c r="N275" s="21">
        <v>1035403</v>
      </c>
      <c r="O275" s="21">
        <v>58237</v>
      </c>
      <c r="P275" s="21">
        <v>977166</v>
      </c>
      <c r="Q275" s="21">
        <v>2010561.51199</v>
      </c>
      <c r="U275" s="44"/>
    </row>
    <row r="276" spans="1:21" ht="12.75" x14ac:dyDescent="0.2">
      <c r="A276" s="43" t="s">
        <v>90</v>
      </c>
      <c r="B276" s="21">
        <v>17605.793310000001</v>
      </c>
      <c r="C276" s="21">
        <v>99119.832800000004</v>
      </c>
      <c r="D276" s="21">
        <v>867136.48340000003</v>
      </c>
      <c r="E276" s="21">
        <v>3742.4712299999997</v>
      </c>
      <c r="F276" s="21">
        <v>980119.63828000007</v>
      </c>
      <c r="G276" s="21">
        <v>2.86</v>
      </c>
      <c r="H276" s="21">
        <v>0</v>
      </c>
      <c r="I276" s="21">
        <v>18748.349999999999</v>
      </c>
      <c r="J276" s="21">
        <v>0</v>
      </c>
      <c r="K276" s="21">
        <v>998870.84828000003</v>
      </c>
      <c r="L276" s="21">
        <v>5226.5934000000007</v>
      </c>
      <c r="M276" s="21">
        <v>997386.72611000005</v>
      </c>
      <c r="N276" s="21">
        <v>1021804</v>
      </c>
      <c r="O276" s="21">
        <v>62574</v>
      </c>
      <c r="P276" s="21">
        <v>959230</v>
      </c>
      <c r="Q276" s="21">
        <v>1958100.84828</v>
      </c>
    </row>
    <row r="277" spans="1:21" ht="12.75" x14ac:dyDescent="0.2">
      <c r="A277" s="43" t="s">
        <v>91</v>
      </c>
      <c r="B277" s="21">
        <v>17053.958719999999</v>
      </c>
      <c r="C277" s="21">
        <v>100453.77004</v>
      </c>
      <c r="D277" s="21">
        <v>888181.8951699998</v>
      </c>
      <c r="E277" s="21">
        <v>2845.5467000000003</v>
      </c>
      <c r="F277" s="21">
        <v>1002844.0772299998</v>
      </c>
      <c r="G277" s="21">
        <v>2.86</v>
      </c>
      <c r="H277" s="21">
        <v>0</v>
      </c>
      <c r="I277" s="21">
        <v>18748.349999999999</v>
      </c>
      <c r="J277" s="21">
        <v>0</v>
      </c>
      <c r="K277" s="21">
        <v>1021595.2872299998</v>
      </c>
      <c r="L277" s="21">
        <v>5913.1313000000009</v>
      </c>
      <c r="M277" s="21">
        <v>1018527.7026299997</v>
      </c>
      <c r="N277" s="21">
        <v>986853</v>
      </c>
      <c r="O277" s="21">
        <v>58597</v>
      </c>
      <c r="P277" s="21">
        <v>928256</v>
      </c>
      <c r="Q277" s="21">
        <v>1949851.2872299999</v>
      </c>
    </row>
    <row r="278" spans="1:21" ht="12.75" x14ac:dyDescent="0.2">
      <c r="A278" s="20" t="s">
        <v>80</v>
      </c>
      <c r="B278" s="21">
        <v>17528.463119999997</v>
      </c>
      <c r="C278" s="21">
        <v>101182.32918</v>
      </c>
      <c r="D278" s="21">
        <v>881620.18842999998</v>
      </c>
      <c r="E278" s="21">
        <v>2881.7557399999992</v>
      </c>
      <c r="F278" s="21">
        <v>997449.2249899999</v>
      </c>
      <c r="G278" s="21">
        <v>2.86</v>
      </c>
      <c r="H278" s="21">
        <v>0</v>
      </c>
      <c r="I278" s="21">
        <v>18748.349999999999</v>
      </c>
      <c r="J278" s="21">
        <v>0</v>
      </c>
      <c r="K278" s="21">
        <v>1016200.4349899999</v>
      </c>
      <c r="L278" s="21">
        <v>3600.7601199999999</v>
      </c>
      <c r="M278" s="21">
        <v>1015481.4306099999</v>
      </c>
      <c r="N278" s="21">
        <v>966454</v>
      </c>
      <c r="O278" s="21">
        <v>56576</v>
      </c>
      <c r="P278" s="21">
        <v>909878</v>
      </c>
      <c r="Q278" s="21">
        <v>1926078.43499</v>
      </c>
    </row>
    <row r="279" spans="1:21" ht="12.75" x14ac:dyDescent="0.2">
      <c r="A279" s="20" t="s">
        <v>92</v>
      </c>
      <c r="B279" s="21">
        <v>17544.837190000002</v>
      </c>
      <c r="C279" s="21">
        <v>99336.929489999995</v>
      </c>
      <c r="D279" s="21">
        <v>863615.19438999996</v>
      </c>
      <c r="E279" s="21">
        <v>2500.4796299999998</v>
      </c>
      <c r="F279" s="21">
        <v>977996.48144</v>
      </c>
      <c r="G279" s="21">
        <v>2.86</v>
      </c>
      <c r="H279" s="21">
        <v>0</v>
      </c>
      <c r="I279" s="21">
        <v>18748.349999999999</v>
      </c>
      <c r="J279" s="21">
        <v>0</v>
      </c>
      <c r="K279" s="21">
        <v>996747.69143999997</v>
      </c>
      <c r="L279" s="21">
        <v>4375.0484000000006</v>
      </c>
      <c r="M279" s="21">
        <v>994873.12266999995</v>
      </c>
      <c r="N279" s="21">
        <v>964176</v>
      </c>
      <c r="O279" s="21">
        <v>60275</v>
      </c>
      <c r="P279" s="21">
        <v>903901</v>
      </c>
      <c r="Q279" s="21">
        <v>1900648.69144</v>
      </c>
    </row>
    <row r="280" spans="1:21" ht="12.75" x14ac:dyDescent="0.2">
      <c r="A280" s="20" t="s">
        <v>93</v>
      </c>
      <c r="B280" s="21">
        <v>16586.549650000001</v>
      </c>
      <c r="C280" s="21">
        <v>97994.131319999986</v>
      </c>
      <c r="D280" s="21">
        <v>863659.4156699999</v>
      </c>
      <c r="E280" s="21">
        <v>2472.1494300000008</v>
      </c>
      <c r="F280" s="21">
        <v>975767.9472099999</v>
      </c>
      <c r="G280" s="21">
        <v>2.86</v>
      </c>
      <c r="H280" s="21">
        <v>0</v>
      </c>
      <c r="I280" s="21">
        <v>18748.349999999999</v>
      </c>
      <c r="J280" s="21">
        <v>0</v>
      </c>
      <c r="K280" s="21">
        <v>994519.15720999986</v>
      </c>
      <c r="L280" s="21">
        <v>5473.9684999999999</v>
      </c>
      <c r="M280" s="21">
        <v>991517.33813999989</v>
      </c>
      <c r="N280" s="21">
        <v>933136</v>
      </c>
      <c r="O280" s="21">
        <v>54050</v>
      </c>
      <c r="P280" s="21">
        <v>879086</v>
      </c>
      <c r="Q280" s="21">
        <v>1873605.1572099999</v>
      </c>
    </row>
    <row r="281" spans="1:21" ht="12.75" x14ac:dyDescent="0.2">
      <c r="A281" s="20" t="s">
        <v>81</v>
      </c>
      <c r="B281" s="21">
        <v>16770.170699999999</v>
      </c>
      <c r="C281" s="21">
        <v>97265.165309999997</v>
      </c>
      <c r="D281" s="21">
        <v>868513.00658999977</v>
      </c>
      <c r="E281" s="21">
        <v>697.63646999999969</v>
      </c>
      <c r="F281" s="21">
        <v>981850.70612999971</v>
      </c>
      <c r="G281" s="21">
        <v>2.86</v>
      </c>
      <c r="H281" s="21">
        <v>0</v>
      </c>
      <c r="I281" s="21">
        <v>18748.349999999999</v>
      </c>
      <c r="J281" s="21">
        <v>0</v>
      </c>
      <c r="K281" s="21">
        <v>1000601.9161299997</v>
      </c>
      <c r="L281" s="21">
        <v>4793.8746799999999</v>
      </c>
      <c r="M281" s="21">
        <v>996505.6779199997</v>
      </c>
      <c r="N281" s="21">
        <v>996202</v>
      </c>
      <c r="O281" s="21">
        <v>53613</v>
      </c>
      <c r="P281" s="21">
        <v>942589</v>
      </c>
      <c r="Q281" s="21">
        <v>1943190.9161299998</v>
      </c>
    </row>
  </sheetData>
  <mergeCells count="4">
    <mergeCell ref="A1:Q1"/>
    <mergeCell ref="B4:F4"/>
    <mergeCell ref="G4:J4"/>
    <mergeCell ref="N4:P4"/>
  </mergeCells>
  <phoneticPr fontId="0" type="noConversion"/>
  <printOptions horizontalCentered="1"/>
  <pageMargins left="0.2" right="0" top="0.5" bottom="0.5" header="0.5" footer="0.25"/>
  <pageSetup scale="70" firstPageNumber="8" orientation="landscape" useFirstPageNumber="1" r:id="rId1"/>
  <headerFooter alignWithMargins="0">
    <oddHeader xml:space="preserve">&amp;C
&amp;"Century Schoolbook,Bold"&amp;11
&amp;R&amp;"Century Schoolbook,Bold Italic"&amp;11 </oddHeader>
    <oddFooter xml:space="preserve">&amp;C&amp;"Arial,Regular"&amp;8&amp;P
&amp;R&amp;"Arial,Bold"&amp;12 </oddFooter>
  </headerFooter>
  <rowBreaks count="3" manualBreakCount="3">
    <brk id="47" max="16" man="1"/>
    <brk id="86" max="16" man="1"/>
    <brk id="125" max="16" man="1"/>
  </rowBreaks>
  <ignoredErrors>
    <ignoredError sqref="A113 J25:J30 J10:L24 J31:L100 K25:L30 H83:I100 A126 A87 A61 A9:A60 A62:A86 A88:A109 J165:L165 J140:K144 J139:L139 J127:K138 J126:L126 J114:K125 J113:L113 J101:K112 H102:I109 H101 H82 H111:I139 H110 H140:H144 J178:L178 K191:L19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4"/>
  <sheetViews>
    <sheetView showGridLines="0" zoomScaleSheetLayoutView="100" workbookViewId="0">
      <selection activeCell="G19" sqref="G19"/>
    </sheetView>
  </sheetViews>
  <sheetFormatPr defaultColWidth="9" defaultRowHeight="15" x14ac:dyDescent="0.2"/>
  <cols>
    <col min="1" max="16384" width="9" style="34"/>
  </cols>
  <sheetData>
    <row r="1" spans="1:12" ht="15.75" x14ac:dyDescent="0.25">
      <c r="A1" s="50" t="s">
        <v>85</v>
      </c>
      <c r="B1" s="50"/>
      <c r="C1" s="50"/>
      <c r="D1" s="50"/>
      <c r="E1" s="50"/>
      <c r="F1" s="50"/>
      <c r="G1" s="50"/>
      <c r="H1" s="50"/>
      <c r="I1" s="50"/>
      <c r="J1" s="50"/>
      <c r="K1" s="50"/>
      <c r="L1" s="50"/>
    </row>
    <row r="2" spans="1:12" x14ac:dyDescent="0.2">
      <c r="A2" s="35"/>
      <c r="B2" s="36"/>
      <c r="C2" s="36"/>
      <c r="D2" s="36"/>
      <c r="E2" s="36"/>
      <c r="F2" s="36"/>
      <c r="G2" s="36"/>
      <c r="H2" s="36"/>
      <c r="I2" s="36"/>
      <c r="J2" s="36"/>
      <c r="K2" s="36"/>
      <c r="L2" s="36"/>
    </row>
    <row r="3" spans="1:12" ht="66" customHeight="1" x14ac:dyDescent="0.2">
      <c r="A3" s="51" t="s">
        <v>72</v>
      </c>
      <c r="B3" s="51"/>
      <c r="C3" s="51"/>
      <c r="D3" s="51"/>
      <c r="E3" s="51"/>
      <c r="F3" s="51"/>
      <c r="G3" s="51"/>
      <c r="H3" s="51"/>
      <c r="I3" s="51"/>
      <c r="J3" s="51"/>
      <c r="K3" s="51"/>
      <c r="L3" s="51"/>
    </row>
    <row r="4" spans="1:12" x14ac:dyDescent="0.2">
      <c r="A4" s="37"/>
      <c r="B4" s="37"/>
      <c r="C4" s="37"/>
      <c r="D4" s="37"/>
      <c r="E4" s="37"/>
      <c r="F4" s="37"/>
      <c r="G4" s="37"/>
      <c r="H4" s="37"/>
      <c r="I4" s="37"/>
      <c r="J4" s="37"/>
      <c r="K4" s="37"/>
      <c r="L4" s="37"/>
    </row>
    <row r="5" spans="1:12" ht="33" customHeight="1" x14ac:dyDescent="0.2">
      <c r="A5" s="51" t="s">
        <v>82</v>
      </c>
      <c r="B5" s="51"/>
      <c r="C5" s="51"/>
      <c r="D5" s="51"/>
      <c r="E5" s="51"/>
      <c r="F5" s="51"/>
      <c r="G5" s="51"/>
      <c r="H5" s="51"/>
      <c r="I5" s="51"/>
      <c r="J5" s="51"/>
      <c r="K5" s="51"/>
      <c r="L5" s="51"/>
    </row>
    <row r="6" spans="1:12" x14ac:dyDescent="0.2">
      <c r="A6" s="37"/>
      <c r="B6" s="37"/>
      <c r="C6" s="37"/>
      <c r="D6" s="37"/>
      <c r="E6" s="37"/>
      <c r="F6" s="37"/>
      <c r="G6" s="37"/>
      <c r="H6" s="37"/>
      <c r="I6" s="37"/>
      <c r="J6" s="37"/>
      <c r="K6" s="37"/>
      <c r="L6" s="37"/>
    </row>
    <row r="7" spans="1:12" ht="48.75" customHeight="1" x14ac:dyDescent="0.25">
      <c r="A7" s="49" t="s">
        <v>96</v>
      </c>
      <c r="B7" s="49"/>
      <c r="C7" s="49"/>
      <c r="D7" s="49"/>
      <c r="E7" s="49"/>
      <c r="F7" s="49"/>
      <c r="G7" s="49"/>
      <c r="H7" s="49"/>
      <c r="I7" s="49"/>
      <c r="J7" s="49"/>
      <c r="K7" s="49"/>
      <c r="L7" s="49"/>
    </row>
    <row r="8" spans="1:12" x14ac:dyDescent="0.2">
      <c r="A8" s="37"/>
      <c r="B8" s="37"/>
      <c r="C8" s="37"/>
      <c r="D8" s="37"/>
      <c r="E8" s="37"/>
      <c r="F8" s="37"/>
      <c r="G8" s="37"/>
      <c r="H8" s="37"/>
      <c r="I8" s="37"/>
      <c r="J8" s="37"/>
      <c r="K8" s="37"/>
      <c r="L8" s="37"/>
    </row>
    <row r="9" spans="1:12" ht="48" customHeight="1" x14ac:dyDescent="0.25">
      <c r="A9" s="49" t="s">
        <v>97</v>
      </c>
      <c r="B9" s="49"/>
      <c r="C9" s="49"/>
      <c r="D9" s="49"/>
      <c r="E9" s="49"/>
      <c r="F9" s="49"/>
      <c r="G9" s="49"/>
      <c r="H9" s="49"/>
      <c r="I9" s="49"/>
      <c r="J9" s="49"/>
      <c r="K9" s="49"/>
      <c r="L9" s="49"/>
    </row>
    <row r="10" spans="1:12" x14ac:dyDescent="0.2">
      <c r="A10" s="37"/>
      <c r="B10" s="37"/>
      <c r="C10" s="37"/>
      <c r="D10" s="37"/>
      <c r="E10" s="37"/>
      <c r="F10" s="37"/>
      <c r="G10" s="37"/>
      <c r="H10" s="37"/>
      <c r="I10" s="37"/>
      <c r="J10" s="37"/>
      <c r="K10" s="37"/>
      <c r="L10" s="37"/>
    </row>
    <row r="11" spans="1:12" s="38" customFormat="1" ht="28.5" customHeight="1" x14ac:dyDescent="0.25">
      <c r="A11" s="49" t="s">
        <v>98</v>
      </c>
      <c r="B11" s="49"/>
      <c r="C11" s="49"/>
      <c r="D11" s="49"/>
      <c r="E11" s="49"/>
      <c r="F11" s="49"/>
      <c r="G11" s="49"/>
      <c r="H11" s="49"/>
      <c r="I11" s="49"/>
      <c r="J11" s="49"/>
      <c r="K11" s="49"/>
      <c r="L11" s="49"/>
    </row>
    <row r="12" spans="1:12" x14ac:dyDescent="0.2">
      <c r="A12" s="37"/>
      <c r="B12" s="37"/>
      <c r="C12" s="37"/>
      <c r="D12" s="37"/>
      <c r="E12" s="37"/>
      <c r="F12" s="37"/>
      <c r="G12" s="37"/>
      <c r="H12" s="37"/>
      <c r="I12" s="37"/>
      <c r="J12" s="37"/>
      <c r="K12" s="37"/>
      <c r="L12" s="37"/>
    </row>
    <row r="13" spans="1:12" ht="31.5" customHeight="1" x14ac:dyDescent="0.25">
      <c r="A13" s="49" t="s">
        <v>99</v>
      </c>
      <c r="B13" s="49"/>
      <c r="C13" s="49"/>
      <c r="D13" s="49"/>
      <c r="E13" s="49"/>
      <c r="F13" s="49"/>
      <c r="G13" s="49"/>
      <c r="H13" s="49"/>
      <c r="I13" s="49"/>
      <c r="J13" s="49"/>
      <c r="K13" s="49"/>
      <c r="L13" s="49"/>
    </row>
    <row r="14" spans="1:12" x14ac:dyDescent="0.2">
      <c r="A14" s="35"/>
      <c r="B14" s="36"/>
      <c r="C14" s="36"/>
      <c r="D14" s="36"/>
      <c r="E14" s="36"/>
      <c r="F14" s="36"/>
      <c r="G14" s="36"/>
      <c r="H14" s="36"/>
      <c r="I14" s="36"/>
      <c r="J14" s="36"/>
      <c r="K14" s="36"/>
      <c r="L14" s="36"/>
    </row>
  </sheetData>
  <mergeCells count="7">
    <mergeCell ref="A13:L13"/>
    <mergeCell ref="A1:L1"/>
    <mergeCell ref="A3:L3"/>
    <mergeCell ref="A5:L5"/>
    <mergeCell ref="A7:L7"/>
    <mergeCell ref="A9:L9"/>
    <mergeCell ref="A11:L11"/>
  </mergeCells>
  <pageMargins left="0.7" right="0.7" top="0.75" bottom="0.75" header="0.3" footer="0.3"/>
  <pageSetup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1977-2003</vt:lpstr>
      <vt:lpstr>2004-2024</vt:lpstr>
      <vt:lpstr>Notes</vt:lpstr>
      <vt:lpstr>Notes!OLE_LINK3</vt:lpstr>
      <vt:lpstr>'1977-2003'!Print_Area</vt:lpstr>
      <vt:lpstr>'2004-2024'!Print_Area</vt:lpstr>
      <vt:lpstr>'1977-2003'!Print_Titles</vt:lpstr>
      <vt:lpstr>'2004-2024'!Print_Titles</vt:lpstr>
    </vt:vector>
  </TitlesOfParts>
  <Company>Central Bank Of Belize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elstonp</dc:creator>
  <cp:lastModifiedBy>Carolyn Myers</cp:lastModifiedBy>
  <cp:lastPrinted>2015-07-23T16:12:39Z</cp:lastPrinted>
  <dcterms:created xsi:type="dcterms:W3CDTF">2001-09-25T19:49:31Z</dcterms:created>
  <dcterms:modified xsi:type="dcterms:W3CDTF">2025-02-17T14:23:10Z</dcterms:modified>
</cp:coreProperties>
</file>