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4C430567-D412-4724-ABE1-9CF117FBCD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5" sheetId="5" r:id="rId1"/>
    <sheet name="Notes" sheetId="8" r:id="rId2"/>
  </sheets>
  <definedNames>
    <definedName name="_Parse_Out" localSheetId="0" hidden="1">'1977-2025'!$A$3:$M$3</definedName>
    <definedName name="_Parse_Out" hidden="1">#REF!</definedName>
    <definedName name="_xlnm.Print_Area" localSheetId="0">'1977-2025'!$A$8:$M$456</definedName>
    <definedName name="Print_Area_MI" localSheetId="0">'1977-2025'!#REF!</definedName>
    <definedName name="_xlnm.Print_Titles" localSheetId="0">'1977-2025'!$1:$6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1" i="5" l="1"/>
  <c r="K362" i="5" l="1"/>
  <c r="K361" i="5"/>
  <c r="K360" i="5"/>
  <c r="K359" i="5"/>
  <c r="K358" i="5"/>
  <c r="K357" i="5"/>
  <c r="K356" i="5"/>
  <c r="K355" i="5"/>
  <c r="K354" i="5"/>
  <c r="K353" i="5"/>
  <c r="K352" i="5"/>
  <c r="K351" i="5"/>
  <c r="D362" i="5" l="1"/>
  <c r="D361" i="5"/>
  <c r="D360" i="5"/>
  <c r="D359" i="5"/>
  <c r="D358" i="5"/>
  <c r="D357" i="5"/>
  <c r="D356" i="5"/>
  <c r="D355" i="5"/>
  <c r="D354" i="5"/>
  <c r="D353" i="5"/>
  <c r="D352" i="5"/>
  <c r="D351" i="5"/>
  <c r="E362" i="5" l="1"/>
  <c r="J362" i="5"/>
  <c r="I362" i="5"/>
  <c r="H362" i="5"/>
  <c r="G362" i="5"/>
  <c r="F362" i="5"/>
  <c r="J361" i="5"/>
  <c r="I361" i="5"/>
  <c r="H361" i="5"/>
  <c r="G361" i="5"/>
  <c r="F361" i="5"/>
  <c r="E361" i="5"/>
  <c r="F360" i="5"/>
  <c r="F359" i="5"/>
  <c r="F358" i="5"/>
  <c r="F357" i="5"/>
  <c r="F356" i="5"/>
  <c r="F355" i="5"/>
  <c r="F354" i="5"/>
  <c r="F353" i="5"/>
  <c r="F352" i="5"/>
  <c r="F349" i="5"/>
  <c r="F348" i="5"/>
  <c r="L362" i="5" l="1"/>
  <c r="L361" i="5"/>
  <c r="J360" i="5"/>
  <c r="I360" i="5"/>
  <c r="H360" i="5"/>
  <c r="G360" i="5"/>
  <c r="E360" i="5"/>
  <c r="J359" i="5"/>
  <c r="I359" i="5"/>
  <c r="H359" i="5"/>
  <c r="G359" i="5"/>
  <c r="E359" i="5"/>
  <c r="J358" i="5"/>
  <c r="I358" i="5"/>
  <c r="H358" i="5"/>
  <c r="G358" i="5"/>
  <c r="E358" i="5"/>
  <c r="J357" i="5"/>
  <c r="I357" i="5"/>
  <c r="H357" i="5"/>
  <c r="G357" i="5"/>
  <c r="E357" i="5"/>
  <c r="J356" i="5"/>
  <c r="I356" i="5"/>
  <c r="H356" i="5"/>
  <c r="G356" i="5"/>
  <c r="E356" i="5"/>
  <c r="J355" i="5"/>
  <c r="I355" i="5"/>
  <c r="H355" i="5"/>
  <c r="G355" i="5"/>
  <c r="E355" i="5"/>
  <c r="J354" i="5"/>
  <c r="I354" i="5"/>
  <c r="H354" i="5"/>
  <c r="G354" i="5"/>
  <c r="E354" i="5"/>
  <c r="J353" i="5"/>
  <c r="I353" i="5"/>
  <c r="H353" i="5"/>
  <c r="G353" i="5"/>
  <c r="E353" i="5"/>
  <c r="J352" i="5"/>
  <c r="I352" i="5"/>
  <c r="H352" i="5"/>
  <c r="G352" i="5"/>
  <c r="E352" i="5"/>
  <c r="J351" i="5"/>
  <c r="I351" i="5"/>
  <c r="H351" i="5"/>
  <c r="G351" i="5"/>
  <c r="E351" i="5"/>
  <c r="K349" i="5"/>
  <c r="J349" i="5"/>
  <c r="I349" i="5"/>
  <c r="H349" i="5"/>
  <c r="G349" i="5"/>
  <c r="E349" i="5"/>
  <c r="K348" i="5"/>
  <c r="J348" i="5"/>
  <c r="I348" i="5"/>
  <c r="H348" i="5"/>
  <c r="G348" i="5"/>
  <c r="E348" i="5"/>
  <c r="K347" i="5"/>
  <c r="J347" i="5"/>
  <c r="I347" i="5"/>
  <c r="H347" i="5"/>
  <c r="G347" i="5"/>
  <c r="F347" i="5"/>
  <c r="E347" i="5"/>
  <c r="L346" i="5"/>
  <c r="L345" i="5"/>
  <c r="L344" i="5"/>
  <c r="L343" i="5"/>
  <c r="L342" i="5"/>
  <c r="L341" i="5"/>
  <c r="L340" i="5"/>
  <c r="L339" i="5"/>
  <c r="L338" i="5"/>
  <c r="L323" i="5"/>
  <c r="L322" i="5"/>
  <c r="L321" i="5"/>
  <c r="L320" i="5"/>
  <c r="L319" i="5"/>
  <c r="L318" i="5"/>
  <c r="L317" i="5"/>
  <c r="L316" i="5"/>
  <c r="L315" i="5"/>
  <c r="L314" i="5"/>
  <c r="L313" i="5"/>
  <c r="L310" i="5"/>
  <c r="K309" i="5"/>
  <c r="J309" i="5"/>
  <c r="I309" i="5"/>
  <c r="H309" i="5"/>
  <c r="G309" i="5"/>
  <c r="F309" i="5"/>
  <c r="E309" i="5"/>
  <c r="L308" i="5"/>
  <c r="L307" i="5"/>
  <c r="L306" i="5"/>
  <c r="L305" i="5"/>
  <c r="L304" i="5"/>
  <c r="L303" i="5"/>
  <c r="L302" i="5"/>
  <c r="L301" i="5"/>
  <c r="L300" i="5"/>
  <c r="L299" i="5"/>
  <c r="K297" i="5"/>
  <c r="J297" i="5"/>
  <c r="I297" i="5"/>
  <c r="H297" i="5"/>
  <c r="G297" i="5"/>
  <c r="F297" i="5"/>
  <c r="E297" i="5"/>
  <c r="K296" i="5"/>
  <c r="J296" i="5"/>
  <c r="I296" i="5"/>
  <c r="H296" i="5"/>
  <c r="G296" i="5"/>
  <c r="F296" i="5"/>
  <c r="E296" i="5"/>
  <c r="K295" i="5"/>
  <c r="J295" i="5"/>
  <c r="I295" i="5"/>
  <c r="H295" i="5"/>
  <c r="G295" i="5"/>
  <c r="F295" i="5"/>
  <c r="E295" i="5"/>
  <c r="L294" i="5"/>
  <c r="L293" i="5"/>
  <c r="L292" i="5"/>
  <c r="L291" i="5"/>
  <c r="L290" i="5"/>
  <c r="L289" i="5"/>
  <c r="L288" i="5"/>
  <c r="L287" i="5"/>
  <c r="L286" i="5"/>
  <c r="L284" i="5"/>
  <c r="L283" i="5"/>
  <c r="L282" i="5"/>
  <c r="L281" i="5"/>
  <c r="L280" i="5"/>
  <c r="L279" i="5"/>
  <c r="L278" i="5"/>
  <c r="L277" i="5"/>
  <c r="L276" i="5"/>
  <c r="L275" i="5"/>
  <c r="L274" i="5"/>
  <c r="L273" i="5"/>
  <c r="L271" i="5"/>
  <c r="L270" i="5"/>
  <c r="L269" i="5"/>
  <c r="L268" i="5"/>
  <c r="L267" i="5"/>
  <c r="L266" i="5"/>
  <c r="L265" i="5"/>
  <c r="L264" i="5"/>
  <c r="L263" i="5"/>
  <c r="L262" i="5"/>
  <c r="L261" i="5"/>
  <c r="L260" i="5"/>
  <c r="L258" i="5"/>
  <c r="L257" i="5"/>
  <c r="L256" i="5"/>
  <c r="L255" i="5"/>
  <c r="L254" i="5"/>
  <c r="L253" i="5"/>
  <c r="L252" i="5"/>
  <c r="L251" i="5"/>
  <c r="L250" i="5"/>
  <c r="L249" i="5"/>
  <c r="L248" i="5"/>
  <c r="L247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K219" i="5"/>
  <c r="L219" i="5" s="1"/>
  <c r="K218" i="5"/>
  <c r="L218" i="5" s="1"/>
  <c r="K217" i="5"/>
  <c r="L217" i="5" s="1"/>
  <c r="K216" i="5"/>
  <c r="L216" i="5" s="1"/>
  <c r="K215" i="5"/>
  <c r="L215" i="5" s="1"/>
  <c r="L214" i="5"/>
  <c r="L213" i="5"/>
  <c r="L212" i="5"/>
  <c r="L211" i="5"/>
  <c r="D210" i="5"/>
  <c r="L210" i="5" s="1"/>
  <c r="M209" i="5"/>
  <c r="K209" i="5"/>
  <c r="L209" i="5" s="1"/>
  <c r="M208" i="5"/>
  <c r="K208" i="5"/>
  <c r="D208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M128" i="5"/>
  <c r="D128" i="5"/>
  <c r="M127" i="5"/>
  <c r="D127" i="5"/>
  <c r="M126" i="5"/>
  <c r="D126" i="5"/>
  <c r="M125" i="5"/>
  <c r="D125" i="5"/>
  <c r="M124" i="5"/>
  <c r="D124" i="5"/>
  <c r="M123" i="5"/>
  <c r="D123" i="5"/>
  <c r="M122" i="5"/>
  <c r="D122" i="5"/>
  <c r="M121" i="5"/>
  <c r="D121" i="5"/>
  <c r="M120" i="5"/>
  <c r="D120" i="5"/>
  <c r="M119" i="5"/>
  <c r="D119" i="5"/>
  <c r="M118" i="5"/>
  <c r="D118" i="5"/>
  <c r="D117" i="5"/>
  <c r="M115" i="5"/>
  <c r="D115" i="5"/>
  <c r="M114" i="5"/>
  <c r="D114" i="5"/>
  <c r="M113" i="5"/>
  <c r="D113" i="5"/>
  <c r="M112" i="5"/>
  <c r="D112" i="5"/>
  <c r="M111" i="5"/>
  <c r="D111" i="5"/>
  <c r="M110" i="5"/>
  <c r="D110" i="5"/>
  <c r="M109" i="5"/>
  <c r="D109" i="5"/>
  <c r="M108" i="5"/>
  <c r="D108" i="5"/>
  <c r="M107" i="5"/>
  <c r="L107" i="5"/>
  <c r="D107" i="5"/>
  <c r="M106" i="5"/>
  <c r="D106" i="5"/>
  <c r="M105" i="5"/>
  <c r="D105" i="5"/>
  <c r="M104" i="5"/>
  <c r="D104" i="5"/>
  <c r="M102" i="5"/>
  <c r="D102" i="5"/>
  <c r="M101" i="5"/>
  <c r="D101" i="5"/>
  <c r="M100" i="5"/>
  <c r="D100" i="5"/>
  <c r="M99" i="5"/>
  <c r="D99" i="5"/>
  <c r="M98" i="5"/>
  <c r="D98" i="5"/>
  <c r="M97" i="5"/>
  <c r="D97" i="5"/>
  <c r="L96" i="5"/>
  <c r="D96" i="5"/>
  <c r="M94" i="5"/>
  <c r="D94" i="5"/>
  <c r="M93" i="5"/>
  <c r="D93" i="5"/>
  <c r="L92" i="5"/>
  <c r="D92" i="5"/>
  <c r="L91" i="5"/>
  <c r="D91" i="5"/>
  <c r="D75" i="5"/>
  <c r="L52" i="5"/>
  <c r="E8" i="5"/>
  <c r="E10" i="5"/>
  <c r="E12" i="5"/>
  <c r="E14" i="5"/>
  <c r="E16" i="5"/>
  <c r="D18" i="5"/>
  <c r="L18" i="5"/>
  <c r="M18" i="5"/>
  <c r="D20" i="5"/>
  <c r="L20" i="5"/>
  <c r="M20" i="5"/>
  <c r="D22" i="5"/>
  <c r="L22" i="5"/>
  <c r="M22" i="5"/>
  <c r="D24" i="5"/>
  <c r="L24" i="5"/>
  <c r="M24" i="5"/>
  <c r="D26" i="5"/>
  <c r="L26" i="5"/>
  <c r="M26" i="5"/>
  <c r="D27" i="5"/>
  <c r="L27" i="5"/>
  <c r="M27" i="5"/>
  <c r="L36" i="5"/>
  <c r="M36" i="5"/>
  <c r="D39" i="5"/>
  <c r="L39" i="5"/>
  <c r="M39" i="5"/>
  <c r="D40" i="5"/>
  <c r="L40" i="5"/>
  <c r="M40" i="5"/>
  <c r="D41" i="5"/>
  <c r="L47" i="5"/>
  <c r="M47" i="5"/>
  <c r="D50" i="5"/>
  <c r="L50" i="5"/>
  <c r="M50" i="5"/>
  <c r="L351" i="5" l="1"/>
  <c r="L359" i="5"/>
  <c r="L358" i="5"/>
  <c r="L356" i="5"/>
  <c r="L353" i="5"/>
  <c r="L352" i="5"/>
  <c r="L360" i="5"/>
  <c r="L348" i="5"/>
  <c r="L357" i="5"/>
  <c r="L355" i="5"/>
  <c r="L354" i="5"/>
  <c r="L208" i="5"/>
  <c r="L295" i="5"/>
  <c r="L296" i="5"/>
  <c r="L297" i="5"/>
  <c r="L349" i="5"/>
  <c r="L309" i="5"/>
  <c r="L347" i="5"/>
  <c r="L312" i="5" l="1"/>
</calcChain>
</file>

<file path=xl/sharedStrings.xml><?xml version="1.0" encoding="utf-8"?>
<sst xmlns="http://schemas.openxmlformats.org/spreadsheetml/2006/main" count="816" uniqueCount="83">
  <si>
    <t>Public</t>
  </si>
  <si>
    <t>Private</t>
  </si>
  <si>
    <t>Religious</t>
  </si>
  <si>
    <t>End of</t>
  </si>
  <si>
    <t>Central</t>
  </si>
  <si>
    <t xml:space="preserve">Local </t>
  </si>
  <si>
    <t>Sector</t>
  </si>
  <si>
    <t>Financial</t>
  </si>
  <si>
    <t>Co-operative</t>
  </si>
  <si>
    <t>Period</t>
  </si>
  <si>
    <t>Entities</t>
  </si>
  <si>
    <t>Institutions</t>
  </si>
  <si>
    <t>Businesses</t>
  </si>
  <si>
    <t>Societies</t>
  </si>
  <si>
    <t xml:space="preserve"> 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</si>
  <si>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</si>
  <si>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</si>
  <si>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</si>
  <si>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</si>
  <si>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</si>
  <si>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</si>
  <si>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</si>
  <si>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</si>
  <si>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</si>
  <si>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</si>
  <si>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</si>
  <si>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</si>
  <si>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</si>
  <si>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</si>
  <si>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</si>
  <si>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</si>
  <si>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</si>
  <si>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</si>
  <si>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</si>
  <si>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</si>
  <si>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$'000</t>
  </si>
  <si>
    <t>Total</t>
  </si>
  <si>
    <t>Individuals</t>
  </si>
  <si>
    <t>2001</t>
  </si>
  <si>
    <t>1977</t>
  </si>
  <si>
    <t>1978</t>
  </si>
  <si>
    <t>1979</t>
  </si>
  <si>
    <t>1980</t>
  </si>
  <si>
    <t>2002</t>
  </si>
  <si>
    <t>Incorporated</t>
  </si>
  <si>
    <t>Other</t>
  </si>
  <si>
    <t>Utilities</t>
  </si>
  <si>
    <t xml:space="preserve">        n.a.</t>
  </si>
  <si>
    <t>2003</t>
  </si>
  <si>
    <t>2004</t>
  </si>
  <si>
    <t>2005</t>
  </si>
  <si>
    <t>2006</t>
  </si>
  <si>
    <t xml:space="preserve">           n.a.</t>
  </si>
  <si>
    <t xml:space="preserve">              n.a.</t>
  </si>
  <si>
    <t xml:space="preserve">         n.a.</t>
  </si>
  <si>
    <t>As of 1991, the Total for Non-Residents is incorporated into the various depositor categories and is, therefore not separately added.</t>
  </si>
  <si>
    <t xml:space="preserve"> n.a.</t>
  </si>
  <si>
    <t>Government</t>
  </si>
  <si>
    <t>Oct</t>
  </si>
  <si>
    <t>Nov</t>
  </si>
  <si>
    <t>Dec</t>
  </si>
  <si>
    <t>2014</t>
  </si>
  <si>
    <t>Jan</t>
  </si>
  <si>
    <t>Feb</t>
  </si>
  <si>
    <t>Mar</t>
  </si>
  <si>
    <t>Apr</t>
  </si>
  <si>
    <t>May</t>
  </si>
  <si>
    <t>June</t>
  </si>
  <si>
    <t>July</t>
  </si>
  <si>
    <t>Aug</t>
  </si>
  <si>
    <t>Organizations</t>
  </si>
  <si>
    <t xml:space="preserve">TABLE 9 DOMESTIC BANKS: TOTAL DEPOSITS BY DEPOSITORS </t>
  </si>
  <si>
    <t>Sept</t>
  </si>
  <si>
    <t>Non-Residents</t>
  </si>
  <si>
    <t>Of which:</t>
  </si>
  <si>
    <t>2015</t>
  </si>
  <si>
    <r>
      <t xml:space="preserve">Total deposits represent the sum of local currency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foreign currency deposits of both residents and non-residents.</t>
    </r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</si>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</sst>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0" x14ac:knownFonts="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rgb="FFFF0000"/>
      <name val="Courier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5">
    <xf numFmtId="37" fontId="0" fillId="0" borderId="0"/>
    <xf numFmtId="37" fontId="3" fillId="0" borderId="0"/>
    <xf numFmtId="0" fontId="10" fillId="0" borderId="0"/>
    <xf numFmtId="165" fontId="11" fillId="0" borderId="0" applyFont="0" applyFill="0" applyBorder="0" applyAlignment="0" applyProtection="0"/>
    <xf numFmtId="0" fontId="12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2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2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6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3" borderId="0" applyNumberFormat="0" applyBorder="0" applyAlignment="0" applyProtection="0"/>
    <xf numFmtId="0" fontId="14" fillId="17" borderId="0" applyNumberFormat="0" applyBorder="0" applyAlignment="0" applyProtection="0"/>
    <xf numFmtId="0" fontId="15" fillId="34" borderId="6" applyNumberFormat="0" applyAlignment="0" applyProtection="0"/>
    <xf numFmtId="0" fontId="16" fillId="35" borderId="7" applyNumberFormat="0" applyAlignment="0" applyProtection="0"/>
    <xf numFmtId="165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1" borderId="6" applyNumberFormat="0" applyAlignment="0" applyProtection="0"/>
    <xf numFmtId="0" fontId="24" fillId="0" borderId="11" applyNumberFormat="0" applyFill="0" applyAlignment="0" applyProtection="0"/>
    <xf numFmtId="0" fontId="25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1" fillId="37" borderId="12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5" fillId="37" borderId="12" applyNumberFormat="0" applyFont="0" applyAlignment="0" applyProtection="0"/>
    <xf numFmtId="0" fontId="26" fillId="34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</cellStyleXfs>
  <cellXfs count="36">
    <xf numFmtId="37" fontId="0" fillId="0" borderId="0" xfId="0"/>
    <xf numFmtId="37" fontId="2" fillId="0" borderId="0" xfId="0" applyFont="1"/>
    <xf numFmtId="37" fontId="5" fillId="0" borderId="0" xfId="0" applyFont="1"/>
    <xf numFmtId="37" fontId="6" fillId="0" borderId="0" xfId="0" quotePrefix="1" applyFont="1" applyAlignment="1">
      <alignment horizontal="right"/>
    </xf>
    <xf numFmtId="37" fontId="6" fillId="0" borderId="2" xfId="0" applyFont="1" applyBorder="1" applyAlignment="1">
      <alignment horizontal="center"/>
    </xf>
    <xf numFmtId="37" fontId="6" fillId="0" borderId="1" xfId="0" applyFont="1" applyBorder="1" applyAlignment="1">
      <alignment horizontal="center"/>
    </xf>
    <xf numFmtId="37" fontId="6" fillId="0" borderId="1" xfId="0" quotePrefix="1" applyFont="1" applyBorder="1" applyAlignment="1">
      <alignment horizontal="center"/>
    </xf>
    <xf numFmtId="37" fontId="5" fillId="0" borderId="0" xfId="1" applyFont="1"/>
    <xf numFmtId="37" fontId="6" fillId="0" borderId="0" xfId="0" applyFont="1"/>
    <xf numFmtId="37" fontId="3" fillId="0" borderId="0" xfId="0" applyFont="1"/>
    <xf numFmtId="37" fontId="5" fillId="0" borderId="0" xfId="0" quotePrefix="1" applyFont="1" applyAlignment="1">
      <alignment horizontal="left"/>
    </xf>
    <xf numFmtId="166" fontId="6" fillId="0" borderId="0" xfId="0" applyNumberFormat="1" applyFont="1"/>
    <xf numFmtId="37" fontId="6" fillId="0" borderId="0" xfId="0" quotePrefix="1" applyFont="1" applyAlignment="1">
      <alignment horizontal="left"/>
    </xf>
    <xf numFmtId="37" fontId="6" fillId="0" borderId="0" xfId="1" quotePrefix="1" applyFont="1" applyAlignment="1">
      <alignment horizontal="left"/>
    </xf>
    <xf numFmtId="37" fontId="6" fillId="0" borderId="0" xfId="0" quotePrefix="1" applyFont="1"/>
    <xf numFmtId="167" fontId="6" fillId="0" borderId="0" xfId="0" quotePrefix="1" applyNumberFormat="1" applyFont="1" applyAlignment="1">
      <alignment horizontal="left"/>
    </xf>
    <xf numFmtId="3" fontId="5" fillId="0" borderId="0" xfId="0" quotePrefix="1" applyNumberFormat="1" applyFont="1" applyAlignment="1">
      <alignment horizontal="left"/>
    </xf>
    <xf numFmtId="37" fontId="6" fillId="0" borderId="3" xfId="0" applyFont="1" applyBorder="1" applyAlignment="1">
      <alignment horizontal="center"/>
    </xf>
    <xf numFmtId="37" fontId="6" fillId="0" borderId="3" xfId="0" quotePrefix="1" applyFont="1" applyBorder="1" applyAlignment="1">
      <alignment horizontal="center"/>
    </xf>
    <xf numFmtId="37" fontId="6" fillId="0" borderId="2" xfId="0" quotePrefix="1" applyFont="1" applyBorder="1" applyAlignment="1">
      <alignment horizontal="center"/>
    </xf>
    <xf numFmtId="37" fontId="0" fillId="0" borderId="4" xfId="0" applyBorder="1"/>
    <xf numFmtId="37" fontId="5" fillId="0" borderId="0" xfId="0" applyFont="1" applyAlignment="1">
      <alignment horizontal="center"/>
    </xf>
    <xf numFmtId="37" fontId="5" fillId="0" borderId="0" xfId="0" quotePrefix="1" applyFont="1" applyAlignment="1">
      <alignment horizontal="right"/>
    </xf>
    <xf numFmtId="43" fontId="5" fillId="0" borderId="0" xfId="0" applyNumberFormat="1" applyFont="1" applyAlignment="1">
      <alignment horizontal="right"/>
    </xf>
    <xf numFmtId="37" fontId="8" fillId="0" borderId="0" xfId="0" applyFont="1"/>
    <xf numFmtId="37" fontId="8" fillId="2" borderId="0" xfId="0" applyFont="1" applyFill="1" applyAlignment="1">
      <alignment horizontal="justify"/>
    </xf>
    <xf numFmtId="37" fontId="8" fillId="2" borderId="0" xfId="0" applyFont="1" applyFill="1"/>
    <xf numFmtId="37" fontId="8" fillId="2" borderId="0" xfId="0" applyFont="1" applyFill="1" applyAlignment="1">
      <alignment horizontal="left"/>
    </xf>
    <xf numFmtId="37" fontId="9" fillId="0" borderId="0" xfId="0" applyFont="1"/>
    <xf numFmtId="3" fontId="6" fillId="0" borderId="0" xfId="0" quotePrefix="1" applyNumberFormat="1" applyFont="1" applyAlignment="1">
      <alignment horizontal="left"/>
    </xf>
    <xf numFmtId="1" fontId="6" fillId="0" borderId="0" xfId="0" quotePrefix="1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37" fontId="4" fillId="0" borderId="0" xfId="0" applyFont="1" applyAlignment="1">
      <alignment horizontal="center"/>
    </xf>
    <xf numFmtId="37" fontId="7" fillId="2" borderId="0" xfId="0" applyFont="1" applyFill="1" applyAlignment="1">
      <alignment horizontal="center"/>
    </xf>
    <xf numFmtId="37" fontId="8" fillId="2" borderId="0" xfId="0" applyFont="1" applyFill="1" applyAlignment="1">
      <alignment horizontal="left" wrapText="1"/>
    </xf>
    <xf numFmtId="37" fontId="5" fillId="0" borderId="0" xfId="0" applyFont="1" applyAlignment="1">
      <alignment horizontal="right"/>
    </xf>
  </cellXfs>
  <cellStyles count="285">
    <cellStyle name="20% - Accent1 2" xfId="4" xr:uid="{7519385A-1249-426E-B04C-5F7A06FAF399}"/>
    <cellStyle name="20% - Accent1 3" xfId="5" xr:uid="{75C2F20D-8110-4234-B58E-61B90A5C0E6F}"/>
    <cellStyle name="20% - Accent1 3 2" xfId="6" xr:uid="{8B312AF8-65E7-4622-AAFC-1952F3C51242}"/>
    <cellStyle name="20% - Accent1 3 2 2" xfId="7" xr:uid="{4DAF643C-2B65-4F2A-8308-4DDA484DE47B}"/>
    <cellStyle name="20% - Accent1 3 3" xfId="8" xr:uid="{8D997969-1CB5-4113-81C6-D3C4EDC5688A}"/>
    <cellStyle name="20% - Accent1 4" xfId="9" xr:uid="{7CD2D465-9E83-4CC9-9271-A77CE74FC9A1}"/>
    <cellStyle name="20% - Accent1 4 2" xfId="10" xr:uid="{64DDCBBD-2DFE-4D7D-8C64-EEC0837354CF}"/>
    <cellStyle name="20% - Accent1 4 2 2" xfId="11" xr:uid="{CA6CE9DE-CD7C-49B1-83D9-8705E34A9F94}"/>
    <cellStyle name="20% - Accent1 4 3" xfId="12" xr:uid="{B194794F-2693-4FCC-A0B5-AC37B04B4C94}"/>
    <cellStyle name="20% - Accent1 5" xfId="13" xr:uid="{54B9F46C-BF4D-42C0-B39F-672E0466FDF9}"/>
    <cellStyle name="20% - Accent1 5 2" xfId="14" xr:uid="{BF4C6508-9870-481C-A4F2-29260D0B7BD8}"/>
    <cellStyle name="20% - Accent1 6" xfId="15" xr:uid="{A6F6E576-CF2B-404D-A954-DDB916BE659A}"/>
    <cellStyle name="20% - Accent2 2" xfId="16" xr:uid="{5267D582-5D3D-4C85-8B91-960B7E0307C3}"/>
    <cellStyle name="20% - Accent2 3" xfId="17" xr:uid="{01AB6665-DB09-41C6-8A23-3E73A93BB2C4}"/>
    <cellStyle name="20% - Accent2 3 2" xfId="18" xr:uid="{A6935681-3BE1-4A24-8EE1-8FA9D3F74D43}"/>
    <cellStyle name="20% - Accent2 3 2 2" xfId="19" xr:uid="{EF650683-8A4E-4AC3-AFF6-EF8A9B2F29C2}"/>
    <cellStyle name="20% - Accent2 3 3" xfId="20" xr:uid="{FFBAD880-98BA-4B54-BB89-0697E09B8405}"/>
    <cellStyle name="20% - Accent2 4" xfId="21" xr:uid="{1A06BF38-348B-4F67-99B1-40DF326525E9}"/>
    <cellStyle name="20% - Accent2 4 2" xfId="22" xr:uid="{25DD4CE5-7B53-4ED1-873A-6CB7E352753D}"/>
    <cellStyle name="20% - Accent2 4 2 2" xfId="23" xr:uid="{D77636E8-9CA6-4881-B7FA-A01343F242FA}"/>
    <cellStyle name="20% - Accent2 4 3" xfId="24" xr:uid="{B1D303E9-6854-4701-B4BC-BFDB4A61BF2D}"/>
    <cellStyle name="20% - Accent2 5" xfId="25" xr:uid="{C7A4C766-29A5-40E7-8659-C88A3C7E41DF}"/>
    <cellStyle name="20% - Accent2 5 2" xfId="26" xr:uid="{585C6995-BA9A-4AA2-9886-C595E1F6F19B}"/>
    <cellStyle name="20% - Accent2 6" xfId="27" xr:uid="{7340D261-D5B4-40A5-98CE-EA6CE636B5C8}"/>
    <cellStyle name="20% - Accent3 2" xfId="28" xr:uid="{79DA8E28-F2E0-4B36-A4BA-C94A9ADD7FC0}"/>
    <cellStyle name="20% - Accent3 3" xfId="29" xr:uid="{78865151-9DD0-4A8A-B5B4-05A718FC2107}"/>
    <cellStyle name="20% - Accent3 3 2" xfId="30" xr:uid="{F1CCA09D-416F-47BC-9064-854E3F3BB1CA}"/>
    <cellStyle name="20% - Accent3 3 2 2" xfId="31" xr:uid="{CCCED360-13D3-4DD7-9BB6-B3588C7D3064}"/>
    <cellStyle name="20% - Accent3 3 3" xfId="32" xr:uid="{E1DA4E9A-4556-4788-B031-00693E9C2290}"/>
    <cellStyle name="20% - Accent3 4" xfId="33" xr:uid="{6EBC728B-AF81-458E-9BC5-E772A098B330}"/>
    <cellStyle name="20% - Accent3 4 2" xfId="34" xr:uid="{1F505267-1698-4C50-A226-36734C64BC2B}"/>
    <cellStyle name="20% - Accent3 4 2 2" xfId="35" xr:uid="{5E528205-ACA1-4537-A8D9-D707B55D0550}"/>
    <cellStyle name="20% - Accent3 4 3" xfId="36" xr:uid="{8E8BDA65-A958-456C-9854-4BBA6DFAC174}"/>
    <cellStyle name="20% - Accent3 5" xfId="37" xr:uid="{15010F24-6261-4515-AC89-306D2A2724CD}"/>
    <cellStyle name="20% - Accent3 5 2" xfId="38" xr:uid="{A573A1F9-08E7-40B5-BAC0-9341810CE61F}"/>
    <cellStyle name="20% - Accent3 6" xfId="39" xr:uid="{99C5BF3D-EA03-43BE-9B2B-C8B9E8D02915}"/>
    <cellStyle name="20% - Accent4 2" xfId="40" xr:uid="{92F219C8-610F-43CC-97DD-4B7AFFB4B147}"/>
    <cellStyle name="20% - Accent4 3" xfId="41" xr:uid="{8DA95128-479F-4904-9E3F-CFC34F830908}"/>
    <cellStyle name="20% - Accent4 3 2" xfId="42" xr:uid="{6C734071-423C-4364-A811-77EA5C7B4EA5}"/>
    <cellStyle name="20% - Accent4 3 2 2" xfId="43" xr:uid="{C539477B-53F1-4B19-95DE-7B36DD649934}"/>
    <cellStyle name="20% - Accent4 3 3" xfId="44" xr:uid="{8198569A-915B-41FC-8DBC-BBF077CC4ECE}"/>
    <cellStyle name="20% - Accent4 4" xfId="45" xr:uid="{BD91A6A0-AED2-4224-BF96-72D976914FD3}"/>
    <cellStyle name="20% - Accent4 4 2" xfId="46" xr:uid="{5654C860-2D4A-47B4-9740-FB5D55702F7C}"/>
    <cellStyle name="20% - Accent4 4 2 2" xfId="47" xr:uid="{A9A1B9A8-F371-4201-9C7D-6BF81F628650}"/>
    <cellStyle name="20% - Accent4 4 3" xfId="48" xr:uid="{6836A8CD-4A77-4B67-AE3B-FA4F7300C806}"/>
    <cellStyle name="20% - Accent4 5" xfId="49" xr:uid="{734CA934-67D2-4CD8-800E-773641DB3475}"/>
    <cellStyle name="20% - Accent4 5 2" xfId="50" xr:uid="{3413EA8B-2249-47B1-A97E-FC67ACF68745}"/>
    <cellStyle name="20% - Accent4 6" xfId="51" xr:uid="{7CBD2D30-0A90-4CAA-ADA5-EFCC5E24FBD7}"/>
    <cellStyle name="20% - Accent5 2" xfId="52" xr:uid="{24337398-2A7D-454E-BF31-435333C8AB62}"/>
    <cellStyle name="20% - Accent5 3" xfId="53" xr:uid="{B00D637F-5DDD-4876-B2C9-5C4585A4FDAD}"/>
    <cellStyle name="20% - Accent5 3 2" xfId="54" xr:uid="{9FBF2197-FBD9-4E61-95CC-65E6693313B4}"/>
    <cellStyle name="20% - Accent5 3 2 2" xfId="55" xr:uid="{C849EC47-4948-4722-B2ED-5817C1825252}"/>
    <cellStyle name="20% - Accent5 3 3" xfId="56" xr:uid="{10B147C8-6032-42E3-893A-33D4D3031CB1}"/>
    <cellStyle name="20% - Accent5 4" xfId="57" xr:uid="{49D3D176-57C0-42A2-927E-EE4FB896AF88}"/>
    <cellStyle name="20% - Accent5 4 2" xfId="58" xr:uid="{07B73F70-9D37-4322-B073-E4D7613181C5}"/>
    <cellStyle name="20% - Accent5 4 2 2" xfId="59" xr:uid="{721E18F7-F1C8-4646-AA94-7E3B5ABB4E46}"/>
    <cellStyle name="20% - Accent5 4 3" xfId="60" xr:uid="{DCBB20DF-1A80-48F4-98AB-A69813BFE6C2}"/>
    <cellStyle name="20% - Accent5 5" xfId="61" xr:uid="{12EC633B-3932-4C1D-9F6C-BB829869E4F0}"/>
    <cellStyle name="20% - Accent5 5 2" xfId="62" xr:uid="{33AB8D58-44BD-4A49-9F34-0B84ADA8C843}"/>
    <cellStyle name="20% - Accent5 6" xfId="63" xr:uid="{AAAB2040-457C-45B9-BDDF-25BBC07F1627}"/>
    <cellStyle name="20% - Accent6 2" xfId="64" xr:uid="{42CB6A43-EBC0-457C-9EAB-AB92404453E2}"/>
    <cellStyle name="20% - Accent6 3" xfId="65" xr:uid="{9E5AED18-DF1D-4AE2-ABAC-D1F5526FB1A1}"/>
    <cellStyle name="20% - Accent6 3 2" xfId="66" xr:uid="{AA890395-7D44-4C8E-AF31-D33118F0BFBD}"/>
    <cellStyle name="20% - Accent6 3 2 2" xfId="67" xr:uid="{FFF21866-28EC-4D34-ACDC-E5669304E6CB}"/>
    <cellStyle name="20% - Accent6 3 3" xfId="68" xr:uid="{1671A7D1-58B0-41FF-8403-CF9DA8380F17}"/>
    <cellStyle name="20% - Accent6 4" xfId="69" xr:uid="{0B70A8CE-40D6-4556-A104-A59C11216CC7}"/>
    <cellStyle name="20% - Accent6 4 2" xfId="70" xr:uid="{BE3EEF06-F6ED-4A2D-887F-990674F8F773}"/>
    <cellStyle name="20% - Accent6 4 2 2" xfId="71" xr:uid="{108744CD-1FAF-4CB2-8E54-2E44A75D0E35}"/>
    <cellStyle name="20% - Accent6 4 3" xfId="72" xr:uid="{FFCF2A96-D252-49BE-A7D8-D22A048B3164}"/>
    <cellStyle name="20% - Accent6 5" xfId="73" xr:uid="{929295B3-6C43-405C-AB02-65B690B99AFA}"/>
    <cellStyle name="20% - Accent6 5 2" xfId="74" xr:uid="{A313BCA1-B355-4F50-990B-FB6F090E5346}"/>
    <cellStyle name="20% - Accent6 6" xfId="75" xr:uid="{F42C8480-E726-4625-9B5B-82BBEAFF487A}"/>
    <cellStyle name="40% - Accent1 2" xfId="76" xr:uid="{FDB8C5AC-CEAE-410B-8F55-509D5E527935}"/>
    <cellStyle name="40% - Accent1 3" xfId="77" xr:uid="{573C7068-8503-4C6F-804A-3471B5B04D06}"/>
    <cellStyle name="40% - Accent1 3 2" xfId="78" xr:uid="{C6FB1E60-D198-40B8-8E40-FC27BAE6982E}"/>
    <cellStyle name="40% - Accent1 3 2 2" xfId="79" xr:uid="{5E958C23-F67D-4068-B211-B37C8BBA1F84}"/>
    <cellStyle name="40% - Accent1 3 3" xfId="80" xr:uid="{C21CF662-C0EB-4AB3-86AD-9413463C14BB}"/>
    <cellStyle name="40% - Accent1 4" xfId="81" xr:uid="{A449BDC8-C0BD-43C9-AF5C-470CD9D41B06}"/>
    <cellStyle name="40% - Accent1 4 2" xfId="82" xr:uid="{E32D2082-9CBE-4555-AE6E-527C521584E8}"/>
    <cellStyle name="40% - Accent1 4 2 2" xfId="83" xr:uid="{F73C4A4F-0658-4993-8928-43257BF1FF1D}"/>
    <cellStyle name="40% - Accent1 4 3" xfId="84" xr:uid="{E9A195AD-0B44-41F9-A090-5A863AFDE1A3}"/>
    <cellStyle name="40% - Accent1 5" xfId="85" xr:uid="{0CFBF8B2-7002-476F-9C4E-94EF2C6DDA05}"/>
    <cellStyle name="40% - Accent1 5 2" xfId="86" xr:uid="{F48B30B0-A666-49FB-BB66-FF02BF15044E}"/>
    <cellStyle name="40% - Accent1 6" xfId="87" xr:uid="{E0EF055C-C7A4-458C-A40A-8317D0CFCB7E}"/>
    <cellStyle name="40% - Accent2 2" xfId="88" xr:uid="{D416A408-61A2-4F76-8876-8DD1C5C2740D}"/>
    <cellStyle name="40% - Accent2 3" xfId="89" xr:uid="{EF5E6AAC-C8DF-4980-8F4F-21C467ECAD88}"/>
    <cellStyle name="40% - Accent2 3 2" xfId="90" xr:uid="{B404CBA8-B998-416E-B1E3-B0D942718056}"/>
    <cellStyle name="40% - Accent2 3 2 2" xfId="91" xr:uid="{3CA5A612-0992-4D24-ACB5-9FFC02207997}"/>
    <cellStyle name="40% - Accent2 3 3" xfId="92" xr:uid="{BCD92EA5-D86D-4EEA-92F4-98A4D8E0726F}"/>
    <cellStyle name="40% - Accent2 4" xfId="93" xr:uid="{33066917-6AAC-4BF5-A975-016CDC303F8C}"/>
    <cellStyle name="40% - Accent2 4 2" xfId="94" xr:uid="{A7B63156-30AB-4ECF-A0BD-A2EE3D5B59B6}"/>
    <cellStyle name="40% - Accent2 4 2 2" xfId="95" xr:uid="{446C4497-6250-4733-BCE5-72DAA08073FC}"/>
    <cellStyle name="40% - Accent2 4 3" xfId="96" xr:uid="{F37CFF25-C47C-4531-9DB1-E1D8F0848620}"/>
    <cellStyle name="40% - Accent2 5" xfId="97" xr:uid="{FFDB1D3B-FB3F-4141-985C-E608836418BC}"/>
    <cellStyle name="40% - Accent2 5 2" xfId="98" xr:uid="{C8BB100D-7D9B-4A05-B620-7A8AEB947809}"/>
    <cellStyle name="40% - Accent2 6" xfId="99" xr:uid="{1C254A28-40AA-45C1-A22E-FAFF3CEB67B5}"/>
    <cellStyle name="40% - Accent3 2" xfId="100" xr:uid="{10C322C4-358A-4F6A-A7B7-69B0061B1554}"/>
    <cellStyle name="40% - Accent3 3" xfId="101" xr:uid="{1A6ACB46-AEE6-4934-A546-1F9E386AA21E}"/>
    <cellStyle name="40% - Accent3 3 2" xfId="102" xr:uid="{8119607A-DE87-47C1-9F17-EB438875DE09}"/>
    <cellStyle name="40% - Accent3 3 2 2" xfId="103" xr:uid="{7E44D99F-BC12-4797-83BC-E119176DAAA1}"/>
    <cellStyle name="40% - Accent3 3 3" xfId="104" xr:uid="{41EE6F83-E3D8-4971-BBD8-158B7A73D831}"/>
    <cellStyle name="40% - Accent3 4" xfId="105" xr:uid="{3063598A-117B-44D7-AB94-45C609BD0A4C}"/>
    <cellStyle name="40% - Accent3 4 2" xfId="106" xr:uid="{22A6D368-5FBD-4D5C-92E1-740DD36DB90B}"/>
    <cellStyle name="40% - Accent3 4 2 2" xfId="107" xr:uid="{A4B5FBF9-0134-49C6-B6DB-774C9BDFC2AE}"/>
    <cellStyle name="40% - Accent3 4 3" xfId="108" xr:uid="{17CBAF93-9592-4968-BD59-3F8B3306699E}"/>
    <cellStyle name="40% - Accent3 5" xfId="109" xr:uid="{4F344278-9BFB-4238-AF8C-BC6302191901}"/>
    <cellStyle name="40% - Accent3 5 2" xfId="110" xr:uid="{27EAF189-0A5F-490C-9A05-E53456E0CEC0}"/>
    <cellStyle name="40% - Accent3 6" xfId="111" xr:uid="{8ACD3AC0-EA24-496A-A817-2CC2B48AADBC}"/>
    <cellStyle name="40% - Accent4 2" xfId="112" xr:uid="{4EF9AAE0-4549-4728-B46C-A2262FCF5E95}"/>
    <cellStyle name="40% - Accent4 3" xfId="113" xr:uid="{682C1536-0DFD-4033-8D2C-4F138C8F5181}"/>
    <cellStyle name="40% - Accent4 3 2" xfId="114" xr:uid="{84C26278-E2EA-430A-AAEA-545E6ECE95DA}"/>
    <cellStyle name="40% - Accent4 3 2 2" xfId="115" xr:uid="{ACAAB5D4-006E-4A71-B141-007FC817DB37}"/>
    <cellStyle name="40% - Accent4 3 3" xfId="116" xr:uid="{ADE22F97-5864-41CB-9B51-0D0AABD09D58}"/>
    <cellStyle name="40% - Accent4 4" xfId="117" xr:uid="{F0EF6446-0B2E-4E43-93BF-ED292C2C1D90}"/>
    <cellStyle name="40% - Accent4 4 2" xfId="118" xr:uid="{EAE2C140-3A24-4F75-94B9-71514BDB66EA}"/>
    <cellStyle name="40% - Accent4 4 2 2" xfId="119" xr:uid="{CF7A8612-8916-44E6-8BEA-4A6E8CBF339B}"/>
    <cellStyle name="40% - Accent4 4 3" xfId="120" xr:uid="{C241AC38-07E9-4449-B0A4-41CB021B7153}"/>
    <cellStyle name="40% - Accent4 5" xfId="121" xr:uid="{9AF09C67-CB3A-4770-BF54-5ACFBB418CEC}"/>
    <cellStyle name="40% - Accent4 5 2" xfId="122" xr:uid="{CF90846F-6DC5-422B-BC61-BC338417924C}"/>
    <cellStyle name="40% - Accent4 6" xfId="123" xr:uid="{70AA5BE5-18E6-4C34-915E-C6265E31BB7C}"/>
    <cellStyle name="40% - Accent5 2" xfId="124" xr:uid="{65EEF34F-23FB-4D2C-85AF-BE1A5226B5DF}"/>
    <cellStyle name="40% - Accent5 3" xfId="125" xr:uid="{69012308-84DF-4EE0-BE6A-5F69607170BB}"/>
    <cellStyle name="40% - Accent5 3 2" xfId="126" xr:uid="{A57CB8EE-EC02-4741-AE89-6F48A4EA5514}"/>
    <cellStyle name="40% - Accent5 3 2 2" xfId="127" xr:uid="{B0FECE66-B39A-451F-A1EA-29155FE95D71}"/>
    <cellStyle name="40% - Accent5 3 3" xfId="128" xr:uid="{BDDA638E-696A-408C-B1FF-3D968503E45C}"/>
    <cellStyle name="40% - Accent5 4" xfId="129" xr:uid="{E7AF0A82-784B-47BF-B74C-C0FE32EA1A8F}"/>
    <cellStyle name="40% - Accent5 4 2" xfId="130" xr:uid="{BE9D482D-4700-400A-BAA4-B370F9CD7A90}"/>
    <cellStyle name="40% - Accent5 4 2 2" xfId="131" xr:uid="{8BDC02E7-AC5D-496E-861A-1F4187334056}"/>
    <cellStyle name="40% - Accent5 4 3" xfId="132" xr:uid="{E8D397F3-C93F-48F2-B5EE-C0C1FA7F24B7}"/>
    <cellStyle name="40% - Accent5 5" xfId="133" xr:uid="{2D707A1F-1A02-43A8-8F72-3BF5AFB745C5}"/>
    <cellStyle name="40% - Accent5 5 2" xfId="134" xr:uid="{306BC0C4-B10C-43A7-AE95-E1752FA75ED7}"/>
    <cellStyle name="40% - Accent5 6" xfId="135" xr:uid="{ED4ED018-9C9E-411B-BC90-F8DB54DE2BCB}"/>
    <cellStyle name="40% - Accent6 2" xfId="136" xr:uid="{0DEF8772-3628-4157-8B5D-584E508E5D52}"/>
    <cellStyle name="40% - Accent6 3" xfId="137" xr:uid="{0F220EA6-1176-48C1-965B-A1DD35F94282}"/>
    <cellStyle name="40% - Accent6 3 2" xfId="138" xr:uid="{9C5DEA61-2175-474B-87F1-300D77A8CFD8}"/>
    <cellStyle name="40% - Accent6 3 2 2" xfId="139" xr:uid="{715C2D72-FB1C-45E7-A93D-CE26619C7381}"/>
    <cellStyle name="40% - Accent6 3 3" xfId="140" xr:uid="{48DD87B9-D479-429A-884E-292A7B89562E}"/>
    <cellStyle name="40% - Accent6 4" xfId="141" xr:uid="{2BF5720B-2A2F-41B1-B36A-34D2FC6D1DF5}"/>
    <cellStyle name="40% - Accent6 4 2" xfId="142" xr:uid="{238F2AB2-AA9C-4398-8465-A444513A1A26}"/>
    <cellStyle name="40% - Accent6 4 2 2" xfId="143" xr:uid="{8808F612-DD16-418D-AC87-04383A09B38F}"/>
    <cellStyle name="40% - Accent6 4 3" xfId="144" xr:uid="{1AA7AAF7-8C3A-4590-9294-0383DC0A5001}"/>
    <cellStyle name="40% - Accent6 5" xfId="145" xr:uid="{EA87C5B8-DA86-4EEE-89BC-A918B1CF0657}"/>
    <cellStyle name="40% - Accent6 5 2" xfId="146" xr:uid="{31FA1421-1569-494F-B5EA-74CBDDC9DAFC}"/>
    <cellStyle name="40% - Accent6 6" xfId="147" xr:uid="{6FB98597-64A4-4644-B42F-C2A80EFA9FC1}"/>
    <cellStyle name="60% - Accent1 2" xfId="148" xr:uid="{B43B5548-24BC-4EFF-9D7B-D951416CC9D4}"/>
    <cellStyle name="60% - Accent2 2" xfId="149" xr:uid="{4E881DCF-DF6A-4E17-98FF-8BE012764D81}"/>
    <cellStyle name="60% - Accent3 2" xfId="150" xr:uid="{9404D49C-74AF-4F1A-AC1D-546D40DA9310}"/>
    <cellStyle name="60% - Accent4 2" xfId="151" xr:uid="{5ECD2918-A37F-4E2D-889A-AABCDFC7D613}"/>
    <cellStyle name="60% - Accent5 2" xfId="152" xr:uid="{9AAC65C6-70ED-44A7-A04F-A4ACAD305A27}"/>
    <cellStyle name="60% - Accent6 2" xfId="153" xr:uid="{1017AA76-3168-4389-ABED-5190C036E4AF}"/>
    <cellStyle name="Accent1 2" xfId="154" xr:uid="{AE3FB1E0-0310-48D1-BF79-687DBFEE749F}"/>
    <cellStyle name="Accent2 2" xfId="155" xr:uid="{B7D03C49-3CA8-4AFE-8EDE-C3B978D7FD20}"/>
    <cellStyle name="Accent3 2" xfId="156" xr:uid="{F862B28E-E6A0-424C-9AC5-7CE0F6EF66DA}"/>
    <cellStyle name="Accent4 2" xfId="157" xr:uid="{C3B8C159-6CEE-4D5D-99C8-28449972CA6F}"/>
    <cellStyle name="Accent5 2" xfId="158" xr:uid="{F1205B48-2F48-4C20-8D2B-8196DC67E60D}"/>
    <cellStyle name="Accent6 2" xfId="159" xr:uid="{CD9F504D-1913-458B-8BF2-1CF0171DE43B}"/>
    <cellStyle name="Bad 2" xfId="160" xr:uid="{FACD4747-A934-4C80-A5AA-590415BBB0AC}"/>
    <cellStyle name="Calculation 2" xfId="161" xr:uid="{60EDA80B-59BC-4BC1-AC9A-273F0F860297}"/>
    <cellStyle name="Check Cell 2" xfId="162" xr:uid="{5385FA5A-A6CF-49D3-94BF-5872EF8CF42F}"/>
    <cellStyle name="Comma 2" xfId="3" xr:uid="{BE5CC8BB-36E6-4638-B837-B1170F25B59F}"/>
    <cellStyle name="Comma 2 2" xfId="163" xr:uid="{04ED2E59-2586-4E98-96F4-C2D0FE8A7E7E}"/>
    <cellStyle name="Comma 3" xfId="164" xr:uid="{DA481570-1AB2-417B-8143-649346996B4F}"/>
    <cellStyle name="Comma 4" xfId="165" xr:uid="{094DB937-AE7E-480D-AC00-19990607FED0}"/>
    <cellStyle name="Currency 2" xfId="166" xr:uid="{CBC388FD-468C-43DC-9CEA-1CFF4E43D88B}"/>
    <cellStyle name="Explanatory Text 2" xfId="167" xr:uid="{442D7DB8-9389-4290-AF3B-F69491544660}"/>
    <cellStyle name="Good 2" xfId="168" xr:uid="{76D05728-5A66-4CFD-89A3-5DAD6CA8A5D6}"/>
    <cellStyle name="Heading 1 2" xfId="169" xr:uid="{9CEDC1DA-4756-41B2-9E28-693AA113E4F9}"/>
    <cellStyle name="Heading 2 2" xfId="170" xr:uid="{DBD4B43B-BAE1-4D13-BA7D-2EABB0772939}"/>
    <cellStyle name="Heading 3 2" xfId="171" xr:uid="{4C5072E7-4274-47F7-B95A-09887845F2DB}"/>
    <cellStyle name="Heading 4 2" xfId="172" xr:uid="{98ACDAA4-0F18-4F12-899F-C864BC0F60D6}"/>
    <cellStyle name="Hyperlink 2" xfId="173" xr:uid="{DAB1DC83-D29A-4E7E-8206-A2DF27F69410}"/>
    <cellStyle name="Input 2" xfId="174" xr:uid="{94552285-F939-4695-AE95-700E5C11A6D2}"/>
    <cellStyle name="Linked Cell 2" xfId="175" xr:uid="{C5622CF5-5425-4B76-A7C4-853A1393A19F}"/>
    <cellStyle name="Neutral 2" xfId="176" xr:uid="{7345ACCC-630F-481E-93C7-7CC40C6BCD2C}"/>
    <cellStyle name="Normal" xfId="0" builtinId="0"/>
    <cellStyle name="Normal 10" xfId="177" xr:uid="{4320FE4B-671B-411B-9473-9FEA51BF03D2}"/>
    <cellStyle name="Normal 10 2" xfId="178" xr:uid="{A9EBF3BA-84E4-4390-8834-3266ADEE3BEC}"/>
    <cellStyle name="Normal 10 2 2" xfId="179" xr:uid="{A01A17E2-1871-48C8-9D39-7432A47C2DDB}"/>
    <cellStyle name="Normal 10 3" xfId="180" xr:uid="{52220EE1-A445-4EE3-9A05-5AB32B6F5AF8}"/>
    <cellStyle name="Normal 11" xfId="181" xr:uid="{EE9DDA29-9112-4B39-9413-288F33D0E478}"/>
    <cellStyle name="Normal 12" xfId="182" xr:uid="{A2442DDA-9322-4B7E-B664-D1958117FCDF}"/>
    <cellStyle name="Normal 12 2" xfId="183" xr:uid="{AE7BF365-0735-4B99-9566-9E4C09377D8B}"/>
    <cellStyle name="Normal 13" xfId="184" xr:uid="{D2909829-1730-420B-806A-8BEB56360511}"/>
    <cellStyle name="Normal 13 2" xfId="185" xr:uid="{AE8EE456-DB6C-4897-9A42-38DA86C8F26E}"/>
    <cellStyle name="Normal 14" xfId="186" xr:uid="{0C719F2B-FB07-4F2E-9221-0EFD3B9C0A69}"/>
    <cellStyle name="Normal 14 2" xfId="187" xr:uid="{54228BF9-7FC7-469C-A1CC-314BE9465B6C}"/>
    <cellStyle name="Normal 15" xfId="188" xr:uid="{0EEB1CF1-6161-4D35-AAED-16C848D0712E}"/>
    <cellStyle name="Normal 15 2" xfId="189" xr:uid="{DC411C03-D6C1-4F82-9A88-408E9B553386}"/>
    <cellStyle name="Normal 16" xfId="190" xr:uid="{09ACE16D-CED1-4F27-872D-0814648A5796}"/>
    <cellStyle name="Normal 16 2" xfId="191" xr:uid="{4035DD12-5F9E-4587-AD1C-88AB359EDDA2}"/>
    <cellStyle name="Normal 17" xfId="192" xr:uid="{14259F76-1BBA-4CFB-8BA9-995E8254DFDC}"/>
    <cellStyle name="Normal 17 2" xfId="193" xr:uid="{9E247B0E-BEE1-4326-A1D0-519A660BEDF8}"/>
    <cellStyle name="Normal 18" xfId="194" xr:uid="{59BF3860-E03C-4D48-B1E8-58BE03DDD9C8}"/>
    <cellStyle name="Normal 18 2" xfId="195" xr:uid="{AF897300-D4AD-4492-8AF9-D13B22FE0A7B}"/>
    <cellStyle name="Normal 19" xfId="196" xr:uid="{C7E15949-4993-42F4-9286-EEA6F0644885}"/>
    <cellStyle name="Normal 19 2" xfId="197" xr:uid="{EE82BA29-8B0E-43F0-A9A6-9456FCFACEBF}"/>
    <cellStyle name="Normal 2" xfId="2" xr:uid="{DC5A44AF-DB0A-43EF-B056-982ECB621554}"/>
    <cellStyle name="Normal 2 2" xfId="198" xr:uid="{3229F02A-863D-4559-85E0-74676D3692BE}"/>
    <cellStyle name="Normal 2 2 2" xfId="199" xr:uid="{2CA0CB92-BC77-4B54-9E83-DA4D2C8D780F}"/>
    <cellStyle name="Normal 2 3" xfId="200" xr:uid="{2C8F110D-C471-4AA7-B11C-577D93616F73}"/>
    <cellStyle name="Normal 20" xfId="201" xr:uid="{FB78FD4A-63EE-473E-B261-3C90BA5E3227}"/>
    <cellStyle name="Normal 20 2" xfId="202" xr:uid="{BD6918F9-06C8-4DDE-BA71-466C5B1FEEC3}"/>
    <cellStyle name="Normal 21" xfId="203" xr:uid="{B8DBD5DA-DB78-4C9E-A3A2-21E0C96E423A}"/>
    <cellStyle name="Normal 21 2" xfId="204" xr:uid="{5D2B1980-7EA4-41DB-A903-159899E2E329}"/>
    <cellStyle name="Normal 22" xfId="205" xr:uid="{B912C0B0-024A-4952-996C-830B7417BCD3}"/>
    <cellStyle name="Normal 22 2" xfId="206" xr:uid="{CECE5AEC-806F-44A4-AD0A-BC4FEC5A460F}"/>
    <cellStyle name="Normal 23" xfId="207" xr:uid="{06BCEB04-796C-465E-9395-B260EC69BCF6}"/>
    <cellStyle name="Normal 23 2" xfId="208" xr:uid="{96D0EDCA-C3BA-4A51-9E01-49C4B9B70101}"/>
    <cellStyle name="Normal 24" xfId="209" xr:uid="{9A1836B3-9E06-4EFB-9D97-E081BA9A9B8C}"/>
    <cellStyle name="Normal 24 2" xfId="210" xr:uid="{32D4B7E4-67E4-4C45-95D2-4A10F96D48DD}"/>
    <cellStyle name="Normal 25" xfId="211" xr:uid="{8A5F1DC6-C7E1-4DEE-82F9-121503C2A262}"/>
    <cellStyle name="Normal 25 2" xfId="212" xr:uid="{598722D5-395A-4804-86F0-6AA993BC2F95}"/>
    <cellStyle name="Normal 26" xfId="213" xr:uid="{ED08D106-0391-45EA-828B-F0287DF45F73}"/>
    <cellStyle name="Normal 26 2" xfId="214" xr:uid="{CABCCFAC-B857-4B4E-AF17-82E6F59EDD71}"/>
    <cellStyle name="Normal 27" xfId="215" xr:uid="{458A051A-1BB7-4BAC-9B2C-84D4F82B96F0}"/>
    <cellStyle name="Normal 27 2" xfId="216" xr:uid="{689B75BF-A217-4535-82FB-EFC5FBFB730C}"/>
    <cellStyle name="Normal 28" xfId="217" xr:uid="{64918C2C-3069-4B42-B20A-7E6DCE93F9E1}"/>
    <cellStyle name="Normal 28 2" xfId="218" xr:uid="{7D87D4CB-2AE5-4B04-8F99-FFC4C2418103}"/>
    <cellStyle name="Normal 29" xfId="219" xr:uid="{9FCC1E9C-39A6-412A-A1B8-68D2B228FF7B}"/>
    <cellStyle name="Normal 29 2" xfId="220" xr:uid="{2C369B0D-A740-47C4-B510-DD81918DB1CA}"/>
    <cellStyle name="Normal 3" xfId="221" xr:uid="{798B47E8-561C-4F0C-BC95-7E85DD34D604}"/>
    <cellStyle name="Normal 30" xfId="222" xr:uid="{2CF065B7-0FC9-4634-997A-1A0713DFF329}"/>
    <cellStyle name="Normal 30 2" xfId="223" xr:uid="{EB1FFB80-E5A3-45E4-9DB5-14C01E80B27F}"/>
    <cellStyle name="Normal 31" xfId="224" xr:uid="{832EA91E-528A-49CA-B0B5-7837781B801F}"/>
    <cellStyle name="Normal 31 2" xfId="225" xr:uid="{75DE6C4A-0F49-4E53-80D7-3BE5A03421D5}"/>
    <cellStyle name="Normal 32" xfId="226" xr:uid="{3F14A1AF-C991-437D-91D0-E196C48BBD12}"/>
    <cellStyle name="Normal 32 2" xfId="227" xr:uid="{5B22DE3F-662E-44E9-BBBD-DD0EF87E8CF8}"/>
    <cellStyle name="Normal 33" xfId="228" xr:uid="{7A8265B3-9083-4BEE-932C-9A25D5040271}"/>
    <cellStyle name="Normal 34" xfId="229" xr:uid="{CCB7BF39-CF30-4A3C-AF51-FB25A7D3A0C3}"/>
    <cellStyle name="Normal 35" xfId="230" xr:uid="{C1526C59-F8BD-44FD-9BEF-4FFFB6129351}"/>
    <cellStyle name="Normal 36" xfId="231" xr:uid="{203DE153-555D-49CD-9204-66E811656642}"/>
    <cellStyle name="Normal 37" xfId="232" xr:uid="{6033B621-83B3-43E6-B21F-458426B63736}"/>
    <cellStyle name="Normal 38" xfId="233" xr:uid="{B3D07387-C123-43D5-BD7B-02349A02AD8F}"/>
    <cellStyle name="Normal 39" xfId="234" xr:uid="{98686190-9B8C-4E64-BDF6-BE8EE624F8C4}"/>
    <cellStyle name="Normal 4" xfId="235" xr:uid="{DAE17B01-1991-4A21-930D-4085CDB42B14}"/>
    <cellStyle name="Normal 4 2" xfId="236" xr:uid="{BD1FD463-EAC7-43D4-B5EC-F5F3D2DA81FA}"/>
    <cellStyle name="Normal 40" xfId="237" xr:uid="{D2FAAE9D-368D-4E08-9085-0C5FB9FC2D52}"/>
    <cellStyle name="Normal 41" xfId="238" xr:uid="{DADFA727-1731-4B58-AA24-38AD350D42BC}"/>
    <cellStyle name="Normal 42" xfId="239" xr:uid="{041C0271-C13A-425E-8ECC-35B887B7F267}"/>
    <cellStyle name="Normal 43" xfId="240" xr:uid="{4B7FB15B-EA4B-4AFA-BBA8-A3173F6E4E79}"/>
    <cellStyle name="Normal 44" xfId="241" xr:uid="{83922481-E86C-4993-9772-58ABC7F299F2}"/>
    <cellStyle name="Normal 45" xfId="242" xr:uid="{8B8F1FE8-1C6E-41AF-8CE2-1003C4176495}"/>
    <cellStyle name="Normal 46" xfId="243" xr:uid="{DE9BFD72-82BF-4FA2-995A-D5E47762F2D9}"/>
    <cellStyle name="Normal 47" xfId="244" xr:uid="{12802F4B-2FD1-4165-8A48-2CD74471F422}"/>
    <cellStyle name="Normal 48" xfId="245" xr:uid="{B92B0034-E977-4DA2-AAEF-E1335BDF89E0}"/>
    <cellStyle name="Normal 49" xfId="246" xr:uid="{E421B1BA-6FCE-4810-AF68-73F57EC78958}"/>
    <cellStyle name="Normal 5" xfId="247" xr:uid="{BCAE32F9-D1BD-4ABD-A4CC-65832B01F5B9}"/>
    <cellStyle name="Normal 5 2" xfId="248" xr:uid="{2C63A327-3669-44C1-BFF2-428E08118A98}"/>
    <cellStyle name="Normal 5 2 2" xfId="249" xr:uid="{F2229E33-E45A-4F4E-AAEA-413DECE2C07E}"/>
    <cellStyle name="Normal 5 3" xfId="250" xr:uid="{ED5D8F20-5150-41EE-96C2-2CCFED86C1FC}"/>
    <cellStyle name="Normal 6" xfId="251" xr:uid="{9E88A7DE-0E27-4954-8BF7-0CD600C73C66}"/>
    <cellStyle name="Normal 6 2" xfId="252" xr:uid="{8F021364-063A-4CB2-930F-ACE07446BC30}"/>
    <cellStyle name="Normal 6 2 2" xfId="253" xr:uid="{408D7D4B-78F8-4A51-BC3E-C4519AA5D56B}"/>
    <cellStyle name="Normal 6 3" xfId="254" xr:uid="{88C84170-FEDA-4F51-ABA2-0D8BD03274C1}"/>
    <cellStyle name="Normal 7" xfId="255" xr:uid="{DFACC96B-3088-43B2-9E94-C100713E42BC}"/>
    <cellStyle name="Normal 7 2" xfId="256" xr:uid="{38301D7D-2893-4C23-AD04-8538AC1A410E}"/>
    <cellStyle name="Normal 7 2 2" xfId="257" xr:uid="{CB7D9CD3-970A-4963-9651-F84313A03ACB}"/>
    <cellStyle name="Normal 7 3" xfId="258" xr:uid="{0D5EE92A-9965-4FF5-81ED-9641F7D688E5}"/>
    <cellStyle name="Normal 8" xfId="259" xr:uid="{754B0907-8933-46EB-9DD6-30467C2C9F51}"/>
    <cellStyle name="Normal 8 2" xfId="260" xr:uid="{3BB3C17B-9F2D-481E-B07B-9DB664C20E16}"/>
    <cellStyle name="Normal 8 2 2" xfId="261" xr:uid="{2C864E8C-572D-4DD5-B5A3-B4D4C886EE2E}"/>
    <cellStyle name="Normal 8 3" xfId="262" xr:uid="{1858EE8B-3FA5-4095-9DCD-B9B38F9C463E}"/>
    <cellStyle name="Normal 9" xfId="263" xr:uid="{69A915B1-BBA6-4218-B4A6-58795AFAB975}"/>
    <cellStyle name="Normal 9 2" xfId="264" xr:uid="{64A5CBC2-9732-47B8-BA82-F190833CE01E}"/>
    <cellStyle name="Normal 9 2 2" xfId="265" xr:uid="{9D3F4A52-0D66-421D-AAB0-2E9D90694D7D}"/>
    <cellStyle name="Normal 9 3" xfId="266" xr:uid="{C8AEEB65-7FAF-4BF6-962A-188395FF396C}"/>
    <cellStyle name="Normal_Sheet1" xfId="1" xr:uid="{00000000-0005-0000-0000-000001000000}"/>
    <cellStyle name="Note 2" xfId="267" xr:uid="{4EE3CC98-1863-47D2-A9D8-9D4B339257A9}"/>
    <cellStyle name="Note 2 2" xfId="268" xr:uid="{1D7E50A5-30A7-458E-BB28-2471DACCF907}"/>
    <cellStyle name="Note 2 2 2" xfId="269" xr:uid="{C4423F05-97A5-480A-B915-0B7D69BB80F6}"/>
    <cellStyle name="Note 2 3" xfId="270" xr:uid="{B3179B67-8024-45A5-85ED-A229DA8B0417}"/>
    <cellStyle name="Note 3" xfId="271" xr:uid="{6C56E49E-29F5-4948-82CB-31E3491AF01A}"/>
    <cellStyle name="Note 4" xfId="272" xr:uid="{53A936FE-0A65-4144-95B6-A377C59CFF36}"/>
    <cellStyle name="Note 4 2" xfId="273" xr:uid="{C81C693E-9593-4941-927A-4EF8B5DA1795}"/>
    <cellStyle name="Note 4 2 2" xfId="274" xr:uid="{283B6E27-53F9-4130-9432-4F43591A9BB6}"/>
    <cellStyle name="Note 4 3" xfId="275" xr:uid="{C3BA2D3E-64B0-46A3-8AB3-F66C9D80D56A}"/>
    <cellStyle name="Note 5" xfId="276" xr:uid="{7FDA036B-4507-495E-9524-7D9179874C3E}"/>
    <cellStyle name="Note 5 2" xfId="277" xr:uid="{73259C59-8D13-49C1-96FE-9A90C7FBBA88}"/>
    <cellStyle name="Note 5 2 2" xfId="278" xr:uid="{662DC439-F8E0-49E5-84B9-75044150DBC7}"/>
    <cellStyle name="Note 5 3" xfId="279" xr:uid="{87548979-1F31-42CA-B5C7-8138F1890AA9}"/>
    <cellStyle name="Note 6" xfId="280" xr:uid="{D40802CD-89DF-4901-B671-A80F93DF7C07}"/>
    <cellStyle name="Output 2" xfId="281" xr:uid="{9E9750B7-C061-4AA1-B8F5-66B3387A2AAA}"/>
    <cellStyle name="Title 2" xfId="282" xr:uid="{27FEED7C-8448-4CC4-A663-E9256B01F29A}"/>
    <cellStyle name="Total 2" xfId="283" xr:uid="{11A42D98-67B2-4ABE-AD75-91297D47D080}"/>
    <cellStyle name="Warning Text 2" xfId="284" xr:uid="{F0A032B7-468F-4534-AD86-4B14A63DC77D}"/>
  </cellStyles>
  <dxfs count="0"/>
  <tableStyles count="0" defaultTableStyle="TableStyleMedium9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A534"/>
  <sheetViews>
    <sheetView showGridLines="0" tabSelected="1" zoomScaleNormal="100" zoomScaleSheetLayoutView="90" workbookViewId="0">
      <pane xSplit="1" ySplit="6" topLeftCell="B506" activePane="bottomRight" state="frozen"/>
      <selection pane="topRight" activeCell="B1" sqref="B1"/>
      <selection pane="bottomLeft" activeCell="A12" sqref="A12"/>
      <selection pane="bottomRight" activeCell="A3" sqref="A3"/>
    </sheetView>
  </sheetViews>
  <sheetFormatPr defaultColWidth="9.625" defaultRowHeight="12" x14ac:dyDescent="0.15"/>
  <cols>
    <col min="1" max="1" width="7" customWidth="1"/>
    <col min="2" max="2" width="11.625" customWidth="1"/>
    <col min="3" max="3" width="11.25" customWidth="1"/>
    <col min="4" max="4" width="8.75" customWidth="1"/>
    <col min="5" max="5" width="12.5" customWidth="1"/>
    <col min="6" max="6" width="12" customWidth="1"/>
    <col min="7" max="7" width="12.25" customWidth="1"/>
    <col min="8" max="8" width="10.625" customWidth="1"/>
    <col min="9" max="9" width="12.375" customWidth="1"/>
    <col min="10" max="10" width="8.5" customWidth="1"/>
    <col min="11" max="11" width="9.75" customWidth="1"/>
    <col min="12" max="12" width="10.875" bestFit="1" customWidth="1"/>
    <col min="13" max="13" width="13.125" customWidth="1"/>
    <col min="14" max="15" width="12.2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3" ht="18.75" customHeight="1" x14ac:dyDescent="0.25">
      <c r="A1" s="32" t="s">
        <v>71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2.75" x14ac:dyDescent="0.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</row>
    <row r="3" spans="1:13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 t="s">
        <v>35</v>
      </c>
    </row>
    <row r="4" spans="1:13" ht="14.25" customHeight="1" x14ac:dyDescent="0.2">
      <c r="A4" s="4"/>
      <c r="B4" s="4"/>
      <c r="C4" s="4"/>
      <c r="D4" s="19" t="s">
        <v>0</v>
      </c>
      <c r="E4" s="19" t="s">
        <v>1</v>
      </c>
      <c r="F4" s="4"/>
      <c r="G4" s="4"/>
      <c r="H4" s="4"/>
      <c r="I4" s="20"/>
      <c r="J4" s="19"/>
      <c r="K4" s="4"/>
      <c r="L4" s="4"/>
      <c r="M4" s="19"/>
    </row>
    <row r="5" spans="1:13" ht="12.75" x14ac:dyDescent="0.2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44</v>
      </c>
      <c r="G5" s="6" t="s">
        <v>8</v>
      </c>
      <c r="H5" s="21"/>
      <c r="I5" s="6" t="s">
        <v>2</v>
      </c>
      <c r="J5" s="6" t="s">
        <v>1</v>
      </c>
      <c r="K5" s="5"/>
      <c r="L5" s="5"/>
      <c r="M5" s="5" t="s">
        <v>74</v>
      </c>
    </row>
    <row r="6" spans="1:13" ht="13.5" customHeight="1" x14ac:dyDescent="0.2">
      <c r="A6" s="17" t="s">
        <v>9</v>
      </c>
      <c r="B6" s="17" t="s">
        <v>57</v>
      </c>
      <c r="C6" s="17" t="s">
        <v>57</v>
      </c>
      <c r="D6" s="18" t="s">
        <v>10</v>
      </c>
      <c r="E6" s="18" t="s">
        <v>11</v>
      </c>
      <c r="F6" s="18" t="s">
        <v>12</v>
      </c>
      <c r="G6" s="18" t="s">
        <v>13</v>
      </c>
      <c r="H6" s="18" t="s">
        <v>37</v>
      </c>
      <c r="I6" s="18" t="s">
        <v>70</v>
      </c>
      <c r="J6" s="17" t="s">
        <v>46</v>
      </c>
      <c r="K6" s="18" t="s">
        <v>45</v>
      </c>
      <c r="L6" s="18" t="s">
        <v>36</v>
      </c>
      <c r="M6" s="18" t="s">
        <v>73</v>
      </c>
    </row>
    <row r="7" spans="1:13" ht="15" customHeight="1" x14ac:dyDescent="0.2">
      <c r="A7" s="8" t="s">
        <v>39</v>
      </c>
      <c r="B7" s="2"/>
      <c r="C7" s="2"/>
      <c r="D7" s="2"/>
      <c r="E7" s="2"/>
      <c r="F7" s="2"/>
      <c r="G7" s="2"/>
      <c r="H7" s="2"/>
      <c r="I7" s="2"/>
      <c r="J7" s="9"/>
      <c r="K7" s="2"/>
      <c r="L7" s="2"/>
      <c r="M7" s="2"/>
    </row>
    <row r="8" spans="1:13" ht="12.75" x14ac:dyDescent="0.2">
      <c r="A8" s="16" t="s">
        <v>60</v>
      </c>
      <c r="B8" s="2">
        <v>745</v>
      </c>
      <c r="C8" s="2">
        <v>99</v>
      </c>
      <c r="D8" s="2">
        <v>2272</v>
      </c>
      <c r="E8" s="2">
        <f>1644+81</f>
        <v>1725</v>
      </c>
      <c r="F8" s="2">
        <v>5494</v>
      </c>
      <c r="G8" s="2">
        <v>1946</v>
      </c>
      <c r="H8" s="2">
        <v>47565</v>
      </c>
      <c r="I8" s="2">
        <v>1548</v>
      </c>
      <c r="J8" s="10" t="s">
        <v>47</v>
      </c>
      <c r="K8" s="2">
        <v>884</v>
      </c>
      <c r="L8" s="2">
        <v>62278</v>
      </c>
      <c r="M8" s="22" t="s">
        <v>56</v>
      </c>
    </row>
    <row r="9" spans="1:13" ht="12.75" x14ac:dyDescent="0.2">
      <c r="A9" s="8" t="s">
        <v>40</v>
      </c>
      <c r="B9" s="2"/>
      <c r="C9" s="2"/>
      <c r="D9" s="2"/>
      <c r="E9" s="2"/>
      <c r="F9" s="2"/>
      <c r="G9" s="2"/>
      <c r="H9" s="2"/>
      <c r="I9" s="2"/>
      <c r="J9" s="10"/>
      <c r="K9" s="2"/>
      <c r="L9" s="2"/>
      <c r="M9" s="23"/>
    </row>
    <row r="10" spans="1:13" ht="12.75" x14ac:dyDescent="0.2">
      <c r="A10" s="16" t="s">
        <v>60</v>
      </c>
      <c r="B10" s="2">
        <v>1089</v>
      </c>
      <c r="C10" s="2">
        <v>112</v>
      </c>
      <c r="D10" s="2">
        <v>2992</v>
      </c>
      <c r="E10" s="2">
        <f>1733+88</f>
        <v>1821</v>
      </c>
      <c r="F10" s="2">
        <v>7394</v>
      </c>
      <c r="G10" s="2">
        <v>2551</v>
      </c>
      <c r="H10" s="2">
        <v>59883</v>
      </c>
      <c r="I10" s="2">
        <v>1890</v>
      </c>
      <c r="J10" s="10" t="s">
        <v>47</v>
      </c>
      <c r="K10" s="2">
        <v>1584</v>
      </c>
      <c r="L10" s="2">
        <v>79316</v>
      </c>
      <c r="M10" s="22" t="s">
        <v>56</v>
      </c>
    </row>
    <row r="11" spans="1:13" ht="12.75" x14ac:dyDescent="0.2">
      <c r="A11" s="8" t="s">
        <v>41</v>
      </c>
      <c r="B11" s="2"/>
      <c r="C11" s="2"/>
      <c r="D11" s="2"/>
      <c r="E11" s="2"/>
      <c r="F11" s="2"/>
      <c r="G11" s="2"/>
      <c r="H11" s="2"/>
      <c r="I11" s="2"/>
      <c r="J11" s="10"/>
      <c r="K11" s="2"/>
      <c r="L11" s="2"/>
      <c r="M11" s="23"/>
    </row>
    <row r="12" spans="1:13" ht="12.75" x14ac:dyDescent="0.2">
      <c r="A12" s="16" t="s">
        <v>60</v>
      </c>
      <c r="B12" s="2">
        <v>1409</v>
      </c>
      <c r="C12" s="2">
        <v>144</v>
      </c>
      <c r="D12" s="2">
        <v>3084</v>
      </c>
      <c r="E12" s="2">
        <f>1843+246</f>
        <v>2089</v>
      </c>
      <c r="F12" s="2">
        <v>6701</v>
      </c>
      <c r="G12" s="2">
        <v>2396</v>
      </c>
      <c r="H12" s="2">
        <v>63462</v>
      </c>
      <c r="I12" s="2">
        <v>2074</v>
      </c>
      <c r="J12" s="10" t="s">
        <v>47</v>
      </c>
      <c r="K12" s="2">
        <v>1934</v>
      </c>
      <c r="L12" s="2">
        <v>83293</v>
      </c>
      <c r="M12" s="22" t="s">
        <v>56</v>
      </c>
    </row>
    <row r="13" spans="1:13" ht="12.75" x14ac:dyDescent="0.2">
      <c r="A13" s="8" t="s">
        <v>42</v>
      </c>
      <c r="B13" s="2"/>
      <c r="C13" s="2"/>
      <c r="D13" s="2"/>
      <c r="E13" s="2"/>
      <c r="F13" s="2"/>
      <c r="G13" s="2"/>
      <c r="H13" s="2"/>
      <c r="I13" s="2"/>
      <c r="J13" s="10"/>
      <c r="K13" s="2"/>
      <c r="L13" s="2"/>
      <c r="M13" s="23"/>
    </row>
    <row r="14" spans="1:13" ht="12.75" x14ac:dyDescent="0.2">
      <c r="A14" s="16" t="s">
        <v>60</v>
      </c>
      <c r="B14" s="2">
        <v>567</v>
      </c>
      <c r="C14" s="2">
        <v>144</v>
      </c>
      <c r="D14" s="2">
        <v>2867</v>
      </c>
      <c r="E14" s="2">
        <f>130+3032</f>
        <v>3162</v>
      </c>
      <c r="F14" s="2">
        <v>5714</v>
      </c>
      <c r="G14" s="2">
        <v>1728</v>
      </c>
      <c r="H14" s="2">
        <v>73783</v>
      </c>
      <c r="I14" s="2">
        <v>2106</v>
      </c>
      <c r="J14" s="10" t="s">
        <v>47</v>
      </c>
      <c r="K14" s="2">
        <v>4072</v>
      </c>
      <c r="L14" s="2">
        <v>94143</v>
      </c>
      <c r="M14" s="22" t="s">
        <v>56</v>
      </c>
    </row>
    <row r="15" spans="1:13" ht="12.75" x14ac:dyDescent="0.2">
      <c r="A15" s="8" t="s">
        <v>15</v>
      </c>
      <c r="B15" s="2"/>
      <c r="C15" s="2"/>
      <c r="D15" s="2"/>
      <c r="E15" s="2"/>
      <c r="F15" s="2"/>
      <c r="G15" s="2"/>
      <c r="H15" s="2"/>
      <c r="I15" s="2"/>
      <c r="J15" s="10"/>
      <c r="K15" s="2"/>
      <c r="L15" s="2"/>
      <c r="M15" s="23"/>
    </row>
    <row r="16" spans="1:13" ht="12.75" x14ac:dyDescent="0.2">
      <c r="A16" s="16" t="s">
        <v>60</v>
      </c>
      <c r="B16" s="2">
        <v>202</v>
      </c>
      <c r="C16" s="2">
        <v>49</v>
      </c>
      <c r="D16" s="2">
        <v>4712</v>
      </c>
      <c r="E16" s="2">
        <f>1749+2952</f>
        <v>4701</v>
      </c>
      <c r="F16" s="2">
        <v>8481</v>
      </c>
      <c r="G16" s="2">
        <v>3423</v>
      </c>
      <c r="H16" s="2">
        <v>78771</v>
      </c>
      <c r="I16" s="2">
        <v>2915</v>
      </c>
      <c r="J16" s="10" t="s">
        <v>47</v>
      </c>
      <c r="K16" s="2">
        <v>2380</v>
      </c>
      <c r="L16" s="2">
        <v>105634</v>
      </c>
      <c r="M16" s="22" t="s">
        <v>56</v>
      </c>
    </row>
    <row r="17" spans="1:13" ht="12.75" x14ac:dyDescent="0.2">
      <c r="A17" s="8" t="s">
        <v>16</v>
      </c>
      <c r="B17" s="2"/>
      <c r="C17" s="2"/>
      <c r="D17" s="2"/>
      <c r="E17" s="2"/>
      <c r="F17" s="2"/>
      <c r="G17" s="2"/>
      <c r="H17" s="2"/>
      <c r="I17" s="2"/>
      <c r="J17" s="10"/>
      <c r="K17" s="2"/>
      <c r="L17" s="2"/>
      <c r="M17" s="2"/>
    </row>
    <row r="18" spans="1:13" ht="12.75" x14ac:dyDescent="0.2">
      <c r="A18" s="16" t="s">
        <v>60</v>
      </c>
      <c r="B18" s="2">
        <v>494</v>
      </c>
      <c r="C18" s="2">
        <v>16</v>
      </c>
      <c r="D18" s="2">
        <f>992+3367+5690</f>
        <v>10049</v>
      </c>
      <c r="E18" s="2">
        <v>5825</v>
      </c>
      <c r="F18" s="2">
        <v>6806</v>
      </c>
      <c r="G18" s="2">
        <v>2527</v>
      </c>
      <c r="H18" s="2">
        <v>79141</v>
      </c>
      <c r="I18" s="2">
        <v>2938</v>
      </c>
      <c r="J18" s="10" t="s">
        <v>47</v>
      </c>
      <c r="K18" s="2">
        <v>7564</v>
      </c>
      <c r="L18" s="2">
        <f>114057+1303</f>
        <v>115360</v>
      </c>
      <c r="M18" s="2">
        <f>4310+429</f>
        <v>4739</v>
      </c>
    </row>
    <row r="19" spans="1:13" ht="12.75" x14ac:dyDescent="0.2">
      <c r="A19" s="8" t="s">
        <v>17</v>
      </c>
      <c r="B19" s="2"/>
      <c r="C19" s="2"/>
      <c r="D19" s="2"/>
      <c r="E19" s="2"/>
      <c r="F19" s="2"/>
      <c r="G19" s="2"/>
      <c r="H19" s="2"/>
      <c r="I19" s="2"/>
      <c r="J19" s="10"/>
      <c r="K19" s="2"/>
      <c r="L19" s="2"/>
      <c r="M19" s="2"/>
    </row>
    <row r="20" spans="1:13" ht="12.75" x14ac:dyDescent="0.2">
      <c r="A20" s="16" t="s">
        <v>60</v>
      </c>
      <c r="B20" s="2">
        <v>453</v>
      </c>
      <c r="C20" s="2">
        <v>156</v>
      </c>
      <c r="D20" s="2">
        <f>7919+3136+3974</f>
        <v>15029</v>
      </c>
      <c r="E20" s="2">
        <v>6674</v>
      </c>
      <c r="F20" s="2">
        <v>10545</v>
      </c>
      <c r="G20" s="2">
        <v>2748</v>
      </c>
      <c r="H20" s="2">
        <v>92918</v>
      </c>
      <c r="I20" s="2">
        <v>3027</v>
      </c>
      <c r="J20" s="10" t="s">
        <v>47</v>
      </c>
      <c r="K20" s="2">
        <v>8725</v>
      </c>
      <c r="L20" s="2">
        <f>138438+1837</f>
        <v>140275</v>
      </c>
      <c r="M20" s="2">
        <f>4046+1131</f>
        <v>5177</v>
      </c>
    </row>
    <row r="21" spans="1:13" ht="12.75" x14ac:dyDescent="0.2">
      <c r="A21" s="8" t="s">
        <v>18</v>
      </c>
      <c r="B21" s="2"/>
      <c r="C21" s="2"/>
      <c r="D21" s="2"/>
      <c r="E21" s="2"/>
      <c r="F21" s="2"/>
      <c r="G21" s="2"/>
      <c r="H21" s="2"/>
      <c r="I21" s="2"/>
      <c r="J21" s="10"/>
      <c r="K21" s="2"/>
      <c r="L21" s="2"/>
      <c r="M21" s="2"/>
    </row>
    <row r="22" spans="1:13" ht="12.75" x14ac:dyDescent="0.2">
      <c r="A22" s="16" t="s">
        <v>60</v>
      </c>
      <c r="B22" s="2">
        <v>720</v>
      </c>
      <c r="C22" s="2">
        <v>19</v>
      </c>
      <c r="D22" s="2">
        <f>10238+3858+3244</f>
        <v>17340</v>
      </c>
      <c r="E22" s="2">
        <v>7304</v>
      </c>
      <c r="F22" s="2">
        <v>9436</v>
      </c>
      <c r="G22" s="2">
        <v>2612</v>
      </c>
      <c r="H22" s="2">
        <v>90085</v>
      </c>
      <c r="I22" s="2">
        <v>4121</v>
      </c>
      <c r="J22" s="10" t="s">
        <v>47</v>
      </c>
      <c r="K22" s="2">
        <v>11956</v>
      </c>
      <c r="L22" s="2">
        <f>141977+1616</f>
        <v>143593</v>
      </c>
      <c r="M22" s="2">
        <f>7430+198</f>
        <v>7628</v>
      </c>
    </row>
    <row r="23" spans="1:13" ht="12.75" x14ac:dyDescent="0.2">
      <c r="A23" s="11" t="s">
        <v>19</v>
      </c>
      <c r="B23" s="2"/>
      <c r="C23" s="2"/>
      <c r="D23" s="2"/>
      <c r="E23" s="2"/>
      <c r="F23" s="2"/>
      <c r="G23" s="2"/>
      <c r="H23" s="2"/>
      <c r="I23" s="2"/>
      <c r="J23" s="10"/>
      <c r="K23" s="2"/>
      <c r="L23" s="2"/>
      <c r="M23" s="2"/>
    </row>
    <row r="24" spans="1:13" ht="12.75" x14ac:dyDescent="0.2">
      <c r="A24" s="16" t="s">
        <v>60</v>
      </c>
      <c r="B24" s="2">
        <v>942</v>
      </c>
      <c r="C24" s="2">
        <v>9</v>
      </c>
      <c r="D24" s="2">
        <f>11256+3009+2984</f>
        <v>17249</v>
      </c>
      <c r="E24" s="2">
        <v>7342</v>
      </c>
      <c r="F24" s="2">
        <v>12025</v>
      </c>
      <c r="G24" s="2">
        <v>2311</v>
      </c>
      <c r="H24" s="2">
        <v>97177</v>
      </c>
      <c r="I24" s="2">
        <v>3052</v>
      </c>
      <c r="J24" s="10" t="s">
        <v>47</v>
      </c>
      <c r="K24" s="2">
        <v>11083</v>
      </c>
      <c r="L24" s="2">
        <f>150024+1166</f>
        <v>151190</v>
      </c>
      <c r="M24" s="2">
        <f>5274+158</f>
        <v>5432</v>
      </c>
    </row>
    <row r="25" spans="1:13" ht="12.75" x14ac:dyDescent="0.2">
      <c r="A25" s="11" t="s">
        <v>20</v>
      </c>
      <c r="B25" s="2"/>
      <c r="C25" s="2"/>
      <c r="D25" s="2"/>
      <c r="E25" s="2"/>
      <c r="F25" s="2"/>
      <c r="G25" s="2"/>
      <c r="H25" s="2"/>
      <c r="I25" s="2"/>
      <c r="J25" s="10"/>
      <c r="K25" s="2"/>
      <c r="L25" s="2"/>
      <c r="M25" s="2"/>
    </row>
    <row r="26" spans="1:13" ht="12.75" x14ac:dyDescent="0.2">
      <c r="A26" s="16" t="s">
        <v>62</v>
      </c>
      <c r="B26" s="2">
        <v>1089</v>
      </c>
      <c r="C26" s="2">
        <v>35</v>
      </c>
      <c r="D26" s="2">
        <f>11488+4564+3523</f>
        <v>19575</v>
      </c>
      <c r="E26" s="2">
        <v>8150</v>
      </c>
      <c r="F26" s="2">
        <v>11427</v>
      </c>
      <c r="G26" s="2">
        <v>3043</v>
      </c>
      <c r="H26" s="2">
        <v>98449</v>
      </c>
      <c r="I26" s="2">
        <v>3581</v>
      </c>
      <c r="J26" s="10" t="s">
        <v>47</v>
      </c>
      <c r="K26" s="2">
        <v>10624</v>
      </c>
      <c r="L26" s="2">
        <f>154393+1580</f>
        <v>155973</v>
      </c>
      <c r="M26" s="2">
        <f>4317+153</f>
        <v>4470</v>
      </c>
    </row>
    <row r="27" spans="1:13" ht="12.75" x14ac:dyDescent="0.2">
      <c r="A27" s="16" t="s">
        <v>63</v>
      </c>
      <c r="B27" s="2">
        <v>1198</v>
      </c>
      <c r="C27" s="2">
        <v>50</v>
      </c>
      <c r="D27" s="2">
        <f>11499+4127+4295</f>
        <v>19921</v>
      </c>
      <c r="E27" s="2">
        <v>8447</v>
      </c>
      <c r="F27" s="2">
        <v>12741</v>
      </c>
      <c r="G27" s="2">
        <v>3462</v>
      </c>
      <c r="H27" s="2">
        <v>97677</v>
      </c>
      <c r="I27" s="2">
        <v>3960</v>
      </c>
      <c r="J27" s="10" t="s">
        <v>47</v>
      </c>
      <c r="K27" s="2">
        <v>11700</v>
      </c>
      <c r="L27" s="2">
        <f>157906+1250</f>
        <v>159156</v>
      </c>
      <c r="M27" s="2">
        <f>6277+300</f>
        <v>6577</v>
      </c>
    </row>
    <row r="28" spans="1:13" ht="12.75" x14ac:dyDescent="0.2">
      <c r="A28" s="16" t="s">
        <v>64</v>
      </c>
      <c r="B28" s="2">
        <v>1022</v>
      </c>
      <c r="C28" s="2">
        <v>90</v>
      </c>
      <c r="D28" s="2">
        <v>19154</v>
      </c>
      <c r="E28" s="2">
        <v>9403</v>
      </c>
      <c r="F28" s="2">
        <v>12390</v>
      </c>
      <c r="G28" s="2">
        <v>3633</v>
      </c>
      <c r="H28" s="2">
        <v>100245</v>
      </c>
      <c r="I28" s="2">
        <v>2991</v>
      </c>
      <c r="J28" s="10" t="s">
        <v>47</v>
      </c>
      <c r="K28" s="2">
        <v>11906</v>
      </c>
      <c r="L28" s="2">
        <v>160834</v>
      </c>
      <c r="M28" s="2">
        <v>6315</v>
      </c>
    </row>
    <row r="29" spans="1:13" ht="12.75" x14ac:dyDescent="0.2">
      <c r="A29" s="16" t="s">
        <v>65</v>
      </c>
      <c r="B29" s="2">
        <v>1034</v>
      </c>
      <c r="C29" s="2">
        <v>89</v>
      </c>
      <c r="D29" s="2">
        <v>19265</v>
      </c>
      <c r="E29" s="2">
        <v>9397</v>
      </c>
      <c r="F29" s="2">
        <v>12174</v>
      </c>
      <c r="G29" s="2">
        <v>3224</v>
      </c>
      <c r="H29" s="2">
        <v>103258</v>
      </c>
      <c r="I29" s="2">
        <v>3027</v>
      </c>
      <c r="J29" s="10" t="s">
        <v>47</v>
      </c>
      <c r="K29" s="2">
        <v>10925</v>
      </c>
      <c r="L29" s="2">
        <v>162393</v>
      </c>
      <c r="M29" s="2">
        <v>5435</v>
      </c>
    </row>
    <row r="30" spans="1:13" ht="12.75" x14ac:dyDescent="0.2">
      <c r="A30" s="16" t="s">
        <v>66</v>
      </c>
      <c r="B30" s="2">
        <v>938</v>
      </c>
      <c r="C30" s="2">
        <v>91</v>
      </c>
      <c r="D30" s="2">
        <v>19099</v>
      </c>
      <c r="E30" s="2">
        <v>10089</v>
      </c>
      <c r="F30" s="2">
        <v>14117</v>
      </c>
      <c r="G30" s="2">
        <v>2652</v>
      </c>
      <c r="H30" s="2">
        <v>103214</v>
      </c>
      <c r="I30" s="2">
        <v>3693</v>
      </c>
      <c r="J30" s="10" t="s">
        <v>47</v>
      </c>
      <c r="K30" s="2">
        <v>11760</v>
      </c>
      <c r="L30" s="2">
        <v>165653</v>
      </c>
      <c r="M30" s="2">
        <v>6076</v>
      </c>
    </row>
    <row r="31" spans="1:13" ht="12.75" x14ac:dyDescent="0.2">
      <c r="A31" s="16" t="s">
        <v>67</v>
      </c>
      <c r="B31" s="2">
        <v>972</v>
      </c>
      <c r="C31" s="2">
        <v>107</v>
      </c>
      <c r="D31" s="2">
        <v>20388</v>
      </c>
      <c r="E31" s="2">
        <v>9081</v>
      </c>
      <c r="F31" s="2">
        <v>12884</v>
      </c>
      <c r="G31" s="2">
        <v>1583</v>
      </c>
      <c r="H31" s="2">
        <v>105651</v>
      </c>
      <c r="I31" s="2">
        <v>3722</v>
      </c>
      <c r="J31" s="10" t="s">
        <v>47</v>
      </c>
      <c r="K31" s="2">
        <v>12184</v>
      </c>
      <c r="L31" s="2">
        <v>166572</v>
      </c>
      <c r="M31" s="2">
        <v>6154</v>
      </c>
    </row>
    <row r="32" spans="1:13" ht="12.75" x14ac:dyDescent="0.2">
      <c r="A32" s="16" t="s">
        <v>68</v>
      </c>
      <c r="B32" s="2">
        <v>1165</v>
      </c>
      <c r="C32" s="2">
        <v>109</v>
      </c>
      <c r="D32" s="2">
        <v>21332</v>
      </c>
      <c r="E32" s="2">
        <v>9615</v>
      </c>
      <c r="F32" s="2">
        <v>12264</v>
      </c>
      <c r="G32" s="2">
        <v>1484</v>
      </c>
      <c r="H32" s="2">
        <v>107462</v>
      </c>
      <c r="I32" s="2">
        <v>3550</v>
      </c>
      <c r="J32" s="10" t="s">
        <v>47</v>
      </c>
      <c r="K32" s="2">
        <v>12245</v>
      </c>
      <c r="L32" s="2">
        <v>169226</v>
      </c>
      <c r="M32" s="2">
        <v>6748</v>
      </c>
    </row>
    <row r="33" spans="1:13" ht="12.75" x14ac:dyDescent="0.2">
      <c r="A33" s="16" t="s">
        <v>69</v>
      </c>
      <c r="B33" s="2">
        <v>1405</v>
      </c>
      <c r="C33" s="2">
        <v>124</v>
      </c>
      <c r="D33" s="2">
        <v>21756</v>
      </c>
      <c r="E33" s="2">
        <v>9116</v>
      </c>
      <c r="F33" s="2">
        <v>10637</v>
      </c>
      <c r="G33" s="2">
        <v>1693</v>
      </c>
      <c r="H33" s="2">
        <v>110192</v>
      </c>
      <c r="I33" s="2">
        <v>3465</v>
      </c>
      <c r="J33" s="10" t="s">
        <v>47</v>
      </c>
      <c r="K33" s="2">
        <v>11187</v>
      </c>
      <c r="L33" s="2">
        <v>169575</v>
      </c>
      <c r="M33" s="2">
        <v>6365</v>
      </c>
    </row>
    <row r="34" spans="1:13" ht="12.75" x14ac:dyDescent="0.2">
      <c r="A34" s="16" t="s">
        <v>72</v>
      </c>
      <c r="B34" s="2">
        <v>1822</v>
      </c>
      <c r="C34" s="2">
        <v>158</v>
      </c>
      <c r="D34" s="2">
        <v>23046</v>
      </c>
      <c r="E34" s="2">
        <v>9580</v>
      </c>
      <c r="F34" s="2">
        <v>11303</v>
      </c>
      <c r="G34" s="2">
        <v>1907</v>
      </c>
      <c r="H34" s="2">
        <v>106648</v>
      </c>
      <c r="I34" s="2">
        <v>3665</v>
      </c>
      <c r="J34" s="10" t="s">
        <v>47</v>
      </c>
      <c r="K34" s="2">
        <v>10986</v>
      </c>
      <c r="L34" s="2">
        <v>169115</v>
      </c>
      <c r="M34" s="2">
        <v>6162</v>
      </c>
    </row>
    <row r="35" spans="1:13" ht="12.75" x14ac:dyDescent="0.2">
      <c r="A35" s="16" t="s">
        <v>58</v>
      </c>
      <c r="B35" s="2">
        <v>777</v>
      </c>
      <c r="C35" s="2">
        <v>75</v>
      </c>
      <c r="D35" s="2">
        <v>22418</v>
      </c>
      <c r="E35" s="2">
        <v>10043</v>
      </c>
      <c r="F35" s="2">
        <v>10166</v>
      </c>
      <c r="G35" s="2">
        <v>2180</v>
      </c>
      <c r="H35" s="2">
        <v>108478</v>
      </c>
      <c r="I35" s="2">
        <v>3247</v>
      </c>
      <c r="J35" s="10" t="s">
        <v>47</v>
      </c>
      <c r="K35" s="2">
        <v>11908</v>
      </c>
      <c r="L35" s="2">
        <v>169292</v>
      </c>
      <c r="M35" s="2">
        <v>7184</v>
      </c>
    </row>
    <row r="36" spans="1:13" ht="12.75" x14ac:dyDescent="0.2">
      <c r="A36" s="16" t="s">
        <v>59</v>
      </c>
      <c r="B36" s="2">
        <v>888</v>
      </c>
      <c r="C36" s="2">
        <v>68</v>
      </c>
      <c r="D36" s="2">
        <v>22831</v>
      </c>
      <c r="E36" s="2">
        <v>8614</v>
      </c>
      <c r="F36" s="2">
        <v>9704</v>
      </c>
      <c r="G36" s="2">
        <v>2292</v>
      </c>
      <c r="H36" s="2">
        <v>115106</v>
      </c>
      <c r="I36" s="2">
        <v>3525</v>
      </c>
      <c r="J36" s="10" t="s">
        <v>47</v>
      </c>
      <c r="K36" s="2">
        <v>6734</v>
      </c>
      <c r="L36" s="2">
        <f>168410+1352</f>
        <v>169762</v>
      </c>
      <c r="M36" s="2">
        <f>2042+398</f>
        <v>2440</v>
      </c>
    </row>
    <row r="37" spans="1:13" ht="12.75" x14ac:dyDescent="0.2">
      <c r="A37" s="16" t="s">
        <v>60</v>
      </c>
      <c r="B37" s="2">
        <v>1192</v>
      </c>
      <c r="C37" s="2">
        <v>54</v>
      </c>
      <c r="D37" s="2">
        <v>23382</v>
      </c>
      <c r="E37" s="2">
        <v>9787</v>
      </c>
      <c r="F37" s="2">
        <v>10409</v>
      </c>
      <c r="G37" s="2">
        <v>2704</v>
      </c>
      <c r="H37" s="2">
        <v>117365</v>
      </c>
      <c r="I37" s="2">
        <v>3320</v>
      </c>
      <c r="J37" s="10" t="s">
        <v>47</v>
      </c>
      <c r="K37" s="2">
        <v>7142</v>
      </c>
      <c r="L37" s="2">
        <v>175355</v>
      </c>
      <c r="M37" s="2">
        <v>2263</v>
      </c>
    </row>
    <row r="38" spans="1:13" ht="14.25" customHeight="1" x14ac:dyDescent="0.2">
      <c r="A38" s="8" t="s">
        <v>21</v>
      </c>
      <c r="B38" s="2"/>
      <c r="C38" s="2"/>
      <c r="D38" s="2"/>
      <c r="E38" s="2"/>
      <c r="F38" s="2"/>
      <c r="G38" s="2"/>
      <c r="H38" s="2"/>
      <c r="I38" s="2"/>
      <c r="J38" s="10"/>
      <c r="K38" s="2"/>
      <c r="L38" s="2"/>
      <c r="M38" s="2"/>
    </row>
    <row r="39" spans="1:13" ht="12.75" x14ac:dyDescent="0.2">
      <c r="A39" s="16" t="s">
        <v>62</v>
      </c>
      <c r="B39" s="2">
        <v>1013</v>
      </c>
      <c r="C39" s="2">
        <v>115</v>
      </c>
      <c r="D39" s="2">
        <f>15983+7245+2179</f>
        <v>25407</v>
      </c>
      <c r="E39" s="2">
        <v>9787</v>
      </c>
      <c r="F39" s="2">
        <v>11014</v>
      </c>
      <c r="G39" s="2">
        <v>3173</v>
      </c>
      <c r="H39" s="2">
        <v>115737</v>
      </c>
      <c r="I39" s="2">
        <v>3962</v>
      </c>
      <c r="J39" s="10" t="s">
        <v>47</v>
      </c>
      <c r="K39" s="2">
        <v>8163</v>
      </c>
      <c r="L39" s="2">
        <f>176465+1906</f>
        <v>178371</v>
      </c>
      <c r="M39" s="2">
        <f>2352+760</f>
        <v>3112</v>
      </c>
    </row>
    <row r="40" spans="1:13" ht="12.75" x14ac:dyDescent="0.2">
      <c r="A40" s="16" t="s">
        <v>63</v>
      </c>
      <c r="B40" s="2">
        <v>1636</v>
      </c>
      <c r="C40" s="2">
        <v>112</v>
      </c>
      <c r="D40" s="2">
        <f>12925+8137+3101</f>
        <v>24163</v>
      </c>
      <c r="E40" s="2">
        <v>9045</v>
      </c>
      <c r="F40" s="2">
        <v>11030</v>
      </c>
      <c r="G40" s="2">
        <v>3815</v>
      </c>
      <c r="H40" s="2">
        <v>117732</v>
      </c>
      <c r="I40" s="2">
        <v>3570</v>
      </c>
      <c r="J40" s="10" t="s">
        <v>47</v>
      </c>
      <c r="K40" s="2">
        <v>8567</v>
      </c>
      <c r="L40" s="2">
        <f>178276+1394</f>
        <v>179670</v>
      </c>
      <c r="M40" s="2">
        <f>3026+660</f>
        <v>3686</v>
      </c>
    </row>
    <row r="41" spans="1:13" ht="12.75" x14ac:dyDescent="0.2">
      <c r="A41" s="16" t="s">
        <v>64</v>
      </c>
      <c r="B41" s="2">
        <v>1042</v>
      </c>
      <c r="C41" s="2">
        <v>69</v>
      </c>
      <c r="D41" s="2">
        <f>13173+8420+2863</f>
        <v>24456</v>
      </c>
      <c r="E41" s="2">
        <v>10914</v>
      </c>
      <c r="F41" s="2">
        <v>11057</v>
      </c>
      <c r="G41" s="2">
        <v>3375</v>
      </c>
      <c r="H41" s="2">
        <v>120416</v>
      </c>
      <c r="I41" s="2">
        <v>3386</v>
      </c>
      <c r="J41" s="10" t="s">
        <v>47</v>
      </c>
      <c r="K41" s="2">
        <v>8536</v>
      </c>
      <c r="L41" s="2">
        <v>183251</v>
      </c>
      <c r="M41" s="2">
        <v>2428</v>
      </c>
    </row>
    <row r="42" spans="1:13" ht="12.75" x14ac:dyDescent="0.2">
      <c r="A42" s="16" t="s">
        <v>65</v>
      </c>
      <c r="B42" s="2">
        <v>1316</v>
      </c>
      <c r="C42" s="2">
        <v>72</v>
      </c>
      <c r="D42" s="2">
        <v>23853</v>
      </c>
      <c r="E42" s="2">
        <v>11544</v>
      </c>
      <c r="F42" s="2">
        <v>11454</v>
      </c>
      <c r="G42" s="2">
        <v>2944</v>
      </c>
      <c r="H42" s="2">
        <v>122761</v>
      </c>
      <c r="I42" s="2">
        <v>3867</v>
      </c>
      <c r="J42" s="10" t="s">
        <v>47</v>
      </c>
      <c r="K42" s="2">
        <v>7819</v>
      </c>
      <c r="L42" s="2">
        <v>185630</v>
      </c>
      <c r="M42" s="2">
        <v>2932</v>
      </c>
    </row>
    <row r="43" spans="1:13" ht="12.75" x14ac:dyDescent="0.2">
      <c r="A43" s="16" t="s">
        <v>66</v>
      </c>
      <c r="B43" s="2">
        <v>1305</v>
      </c>
      <c r="C43" s="2">
        <v>59</v>
      </c>
      <c r="D43" s="2">
        <v>23754</v>
      </c>
      <c r="E43" s="2">
        <v>11284</v>
      </c>
      <c r="F43" s="2">
        <v>12599</v>
      </c>
      <c r="G43" s="2">
        <v>4984</v>
      </c>
      <c r="H43" s="2">
        <v>124814</v>
      </c>
      <c r="I43" s="2">
        <v>4264</v>
      </c>
      <c r="J43" s="10" t="s">
        <v>47</v>
      </c>
      <c r="K43" s="2">
        <v>7467</v>
      </c>
      <c r="L43" s="2">
        <v>190530</v>
      </c>
      <c r="M43" s="2">
        <v>2334</v>
      </c>
    </row>
    <row r="44" spans="1:13" ht="12.75" x14ac:dyDescent="0.2">
      <c r="A44" s="16" t="s">
        <v>67</v>
      </c>
      <c r="B44" s="2">
        <v>1678</v>
      </c>
      <c r="C44" s="2">
        <v>82</v>
      </c>
      <c r="D44" s="2">
        <v>25668</v>
      </c>
      <c r="E44" s="2">
        <v>11358</v>
      </c>
      <c r="F44" s="2">
        <v>13696</v>
      </c>
      <c r="G44" s="2">
        <v>6873</v>
      </c>
      <c r="H44" s="2">
        <v>122420</v>
      </c>
      <c r="I44" s="2">
        <v>3750</v>
      </c>
      <c r="J44" s="10" t="s">
        <v>47</v>
      </c>
      <c r="K44" s="2">
        <v>8329</v>
      </c>
      <c r="L44" s="2">
        <v>193854</v>
      </c>
      <c r="M44" s="2">
        <v>1755</v>
      </c>
    </row>
    <row r="45" spans="1:13" ht="12.75" x14ac:dyDescent="0.2">
      <c r="A45" s="16" t="s">
        <v>68</v>
      </c>
      <c r="B45" s="2">
        <v>1988</v>
      </c>
      <c r="C45" s="2">
        <v>79</v>
      </c>
      <c r="D45" s="2">
        <v>24582</v>
      </c>
      <c r="E45" s="2">
        <v>11638</v>
      </c>
      <c r="F45" s="2">
        <v>16313</v>
      </c>
      <c r="G45" s="2">
        <v>2037</v>
      </c>
      <c r="H45" s="2">
        <v>127177</v>
      </c>
      <c r="I45" s="2">
        <v>4057</v>
      </c>
      <c r="J45" s="10" t="s">
        <v>47</v>
      </c>
      <c r="K45" s="2">
        <v>8262</v>
      </c>
      <c r="L45" s="2">
        <v>196133</v>
      </c>
      <c r="M45" s="2">
        <v>2305</v>
      </c>
    </row>
    <row r="46" spans="1:13" ht="12.75" x14ac:dyDescent="0.2">
      <c r="A46" s="16" t="s">
        <v>69</v>
      </c>
      <c r="B46" s="2">
        <v>780</v>
      </c>
      <c r="C46" s="2">
        <v>59</v>
      </c>
      <c r="D46" s="2">
        <v>26521</v>
      </c>
      <c r="E46" s="2">
        <v>11519</v>
      </c>
      <c r="F46" s="2">
        <v>16369</v>
      </c>
      <c r="G46" s="2">
        <v>2344</v>
      </c>
      <c r="H46" s="2">
        <v>123991</v>
      </c>
      <c r="I46" s="2">
        <v>3824</v>
      </c>
      <c r="J46" s="10" t="s">
        <v>47</v>
      </c>
      <c r="K46" s="2">
        <v>9118</v>
      </c>
      <c r="L46" s="2">
        <v>194525</v>
      </c>
      <c r="M46" s="2">
        <v>2536</v>
      </c>
    </row>
    <row r="47" spans="1:13" ht="12.75" x14ac:dyDescent="0.2">
      <c r="A47" s="16" t="s">
        <v>72</v>
      </c>
      <c r="B47" s="2">
        <v>1790</v>
      </c>
      <c r="C47" s="2">
        <v>92</v>
      </c>
      <c r="D47" s="2">
        <v>27016</v>
      </c>
      <c r="E47" s="2">
        <v>11031</v>
      </c>
      <c r="F47" s="2">
        <v>15410</v>
      </c>
      <c r="G47" s="2">
        <v>2244</v>
      </c>
      <c r="H47" s="2">
        <v>129076</v>
      </c>
      <c r="I47" s="2">
        <v>4056</v>
      </c>
      <c r="J47" s="10" t="s">
        <v>47</v>
      </c>
      <c r="K47" s="2">
        <v>11001</v>
      </c>
      <c r="L47" s="2">
        <f>200206+1510</f>
        <v>201716</v>
      </c>
      <c r="M47" s="2">
        <f>3643+434</f>
        <v>4077</v>
      </c>
    </row>
    <row r="48" spans="1:13" ht="12.75" x14ac:dyDescent="0.2">
      <c r="A48" s="16" t="s">
        <v>58</v>
      </c>
      <c r="B48" s="2">
        <v>1218</v>
      </c>
      <c r="C48" s="2">
        <v>73</v>
      </c>
      <c r="D48" s="2">
        <v>26027</v>
      </c>
      <c r="E48" s="2">
        <v>10941</v>
      </c>
      <c r="F48" s="2">
        <v>16533</v>
      </c>
      <c r="G48" s="2">
        <v>2872</v>
      </c>
      <c r="H48" s="2">
        <v>127164</v>
      </c>
      <c r="I48" s="2">
        <v>4561</v>
      </c>
      <c r="J48" s="10" t="s">
        <v>47</v>
      </c>
      <c r="K48" s="2">
        <v>10330</v>
      </c>
      <c r="L48" s="2">
        <v>199719</v>
      </c>
      <c r="M48" s="2">
        <v>2532</v>
      </c>
    </row>
    <row r="49" spans="1:13" ht="12.75" x14ac:dyDescent="0.2">
      <c r="A49" s="16" t="s">
        <v>59</v>
      </c>
      <c r="B49" s="2">
        <v>1131</v>
      </c>
      <c r="C49" s="2">
        <v>47</v>
      </c>
      <c r="D49" s="2">
        <v>26250</v>
      </c>
      <c r="E49" s="2">
        <v>10585</v>
      </c>
      <c r="F49" s="2">
        <v>15989</v>
      </c>
      <c r="G49" s="2">
        <v>2993</v>
      </c>
      <c r="H49" s="2">
        <v>130565</v>
      </c>
      <c r="I49" s="2">
        <v>4746</v>
      </c>
      <c r="J49" s="10" t="s">
        <v>47</v>
      </c>
      <c r="K49" s="2">
        <v>8365</v>
      </c>
      <c r="L49" s="2">
        <v>200671</v>
      </c>
      <c r="M49" s="2">
        <v>1945</v>
      </c>
    </row>
    <row r="50" spans="1:13" ht="12.75" x14ac:dyDescent="0.2">
      <c r="A50" s="16" t="s">
        <v>60</v>
      </c>
      <c r="B50" s="2">
        <v>1394</v>
      </c>
      <c r="C50" s="2">
        <v>25</v>
      </c>
      <c r="D50" s="2">
        <f>15048+12350+1848</f>
        <v>29246</v>
      </c>
      <c r="E50" s="2">
        <v>11256</v>
      </c>
      <c r="F50" s="2">
        <v>16267</v>
      </c>
      <c r="G50" s="2">
        <v>2752</v>
      </c>
      <c r="H50" s="2">
        <v>136316</v>
      </c>
      <c r="I50" s="2">
        <v>4042</v>
      </c>
      <c r="J50" s="10" t="s">
        <v>47</v>
      </c>
      <c r="K50" s="2">
        <v>12277</v>
      </c>
      <c r="L50" s="2">
        <f>211829+1746</f>
        <v>213575</v>
      </c>
      <c r="M50" s="2">
        <f>2428+563</f>
        <v>2991</v>
      </c>
    </row>
    <row r="51" spans="1:13" ht="12.75" x14ac:dyDescent="0.2">
      <c r="A51" s="8" t="s">
        <v>22</v>
      </c>
      <c r="B51" s="2"/>
      <c r="C51" s="2"/>
      <c r="D51" s="2"/>
      <c r="E51" s="2"/>
      <c r="F51" s="2"/>
      <c r="G51" s="2"/>
      <c r="H51" s="2"/>
      <c r="I51" s="2"/>
      <c r="J51" s="10"/>
      <c r="K51" s="2"/>
      <c r="L51" s="2"/>
      <c r="M51" s="2"/>
    </row>
    <row r="52" spans="1:13" ht="12.75" x14ac:dyDescent="0.2">
      <c r="A52" s="16" t="s">
        <v>62</v>
      </c>
      <c r="B52" s="2">
        <v>1875</v>
      </c>
      <c r="C52" s="2">
        <v>42</v>
      </c>
      <c r="D52" s="2">
        <v>30209</v>
      </c>
      <c r="E52" s="2">
        <v>11879</v>
      </c>
      <c r="F52" s="2">
        <v>15124</v>
      </c>
      <c r="G52" s="2">
        <v>4547</v>
      </c>
      <c r="H52" s="2">
        <v>134939</v>
      </c>
      <c r="I52" s="2">
        <v>4636</v>
      </c>
      <c r="J52" s="10" t="s">
        <v>47</v>
      </c>
      <c r="K52" s="2">
        <v>11343</v>
      </c>
      <c r="L52" s="2">
        <f>212967+1627</f>
        <v>214594</v>
      </c>
      <c r="M52" s="2">
        <v>2783</v>
      </c>
    </row>
    <row r="53" spans="1:13" ht="12.75" x14ac:dyDescent="0.2">
      <c r="A53" s="16" t="s">
        <v>63</v>
      </c>
      <c r="B53" s="2">
        <v>1086</v>
      </c>
      <c r="C53" s="2">
        <v>61</v>
      </c>
      <c r="D53" s="2">
        <v>29802</v>
      </c>
      <c r="E53" s="2">
        <v>12192</v>
      </c>
      <c r="F53" s="2">
        <v>18520</v>
      </c>
      <c r="G53" s="2">
        <v>4405</v>
      </c>
      <c r="H53" s="2">
        <v>134709</v>
      </c>
      <c r="I53" s="2">
        <v>4517</v>
      </c>
      <c r="J53" s="10" t="s">
        <v>47</v>
      </c>
      <c r="K53" s="2">
        <v>11217</v>
      </c>
      <c r="L53" s="2">
        <v>216509</v>
      </c>
      <c r="M53" s="2">
        <v>2865</v>
      </c>
    </row>
    <row r="54" spans="1:13" ht="12.75" x14ac:dyDescent="0.2">
      <c r="A54" s="16" t="s">
        <v>64</v>
      </c>
      <c r="B54" s="2">
        <v>1436</v>
      </c>
      <c r="C54" s="2">
        <v>69</v>
      </c>
      <c r="D54" s="2">
        <v>31884</v>
      </c>
      <c r="E54" s="2">
        <v>12559</v>
      </c>
      <c r="F54" s="2">
        <v>16329</v>
      </c>
      <c r="G54" s="2">
        <v>4657</v>
      </c>
      <c r="H54" s="2">
        <v>141840</v>
      </c>
      <c r="I54" s="2">
        <v>4380</v>
      </c>
      <c r="J54" s="10" t="s">
        <v>47</v>
      </c>
      <c r="K54" s="2">
        <v>12068</v>
      </c>
      <c r="L54" s="2">
        <v>225222</v>
      </c>
      <c r="M54" s="2">
        <v>3168</v>
      </c>
    </row>
    <row r="55" spans="1:13" ht="12.75" x14ac:dyDescent="0.2">
      <c r="A55" s="16" t="s">
        <v>65</v>
      </c>
      <c r="B55" s="2">
        <v>1928</v>
      </c>
      <c r="C55" s="2">
        <v>115</v>
      </c>
      <c r="D55" s="2">
        <v>32195</v>
      </c>
      <c r="E55" s="2">
        <v>12046</v>
      </c>
      <c r="F55" s="2">
        <v>17381</v>
      </c>
      <c r="G55" s="2">
        <v>3033</v>
      </c>
      <c r="H55" s="2">
        <v>141926</v>
      </c>
      <c r="I55" s="2">
        <v>5129</v>
      </c>
      <c r="J55" s="10" t="s">
        <v>47</v>
      </c>
      <c r="K55" s="2">
        <v>13973</v>
      </c>
      <c r="L55" s="2">
        <v>227726</v>
      </c>
      <c r="M55" s="2">
        <v>3590</v>
      </c>
    </row>
    <row r="56" spans="1:13" ht="12.75" x14ac:dyDescent="0.2">
      <c r="A56" s="16" t="s">
        <v>66</v>
      </c>
      <c r="B56" s="2">
        <v>1517</v>
      </c>
      <c r="C56" s="2">
        <v>104</v>
      </c>
      <c r="D56" s="2">
        <v>29986</v>
      </c>
      <c r="E56" s="2">
        <v>12820</v>
      </c>
      <c r="F56" s="2">
        <v>18469</v>
      </c>
      <c r="G56" s="2">
        <v>2116</v>
      </c>
      <c r="H56" s="2">
        <v>140232</v>
      </c>
      <c r="I56" s="2">
        <v>4897</v>
      </c>
      <c r="J56" s="10" t="s">
        <v>47</v>
      </c>
      <c r="K56" s="2">
        <v>12771</v>
      </c>
      <c r="L56" s="2">
        <v>222912</v>
      </c>
      <c r="M56" s="2">
        <v>2248</v>
      </c>
    </row>
    <row r="57" spans="1:13" ht="12.75" x14ac:dyDescent="0.2">
      <c r="A57" s="16" t="s">
        <v>67</v>
      </c>
      <c r="B57" s="2">
        <v>1887</v>
      </c>
      <c r="C57" s="2">
        <v>95</v>
      </c>
      <c r="D57" s="2">
        <v>31641</v>
      </c>
      <c r="E57" s="2">
        <v>14261</v>
      </c>
      <c r="F57" s="2">
        <v>19255</v>
      </c>
      <c r="G57" s="2">
        <v>2061</v>
      </c>
      <c r="H57" s="2">
        <v>145688</v>
      </c>
      <c r="I57" s="2">
        <v>4401</v>
      </c>
      <c r="J57" s="10" t="s">
        <v>47</v>
      </c>
      <c r="K57" s="2">
        <v>14352</v>
      </c>
      <c r="L57" s="2">
        <v>233641</v>
      </c>
      <c r="M57" s="2">
        <v>2256</v>
      </c>
    </row>
    <row r="58" spans="1:13" ht="12.75" x14ac:dyDescent="0.2">
      <c r="A58" s="16" t="s">
        <v>68</v>
      </c>
      <c r="B58" s="2">
        <v>1753</v>
      </c>
      <c r="C58" s="2">
        <v>77</v>
      </c>
      <c r="D58" s="2">
        <v>32352</v>
      </c>
      <c r="E58" s="2">
        <v>12453</v>
      </c>
      <c r="F58" s="2">
        <v>17845</v>
      </c>
      <c r="G58" s="2">
        <v>2019</v>
      </c>
      <c r="H58" s="2">
        <v>146774</v>
      </c>
      <c r="I58" s="2">
        <v>5058</v>
      </c>
      <c r="J58" s="10" t="s">
        <v>47</v>
      </c>
      <c r="K58" s="2">
        <v>12025</v>
      </c>
      <c r="L58" s="2">
        <v>230356</v>
      </c>
      <c r="M58" s="2">
        <v>2333</v>
      </c>
    </row>
    <row r="59" spans="1:13" ht="12.75" x14ac:dyDescent="0.2">
      <c r="A59" s="16" t="s">
        <v>69</v>
      </c>
      <c r="B59" s="2">
        <v>2066</v>
      </c>
      <c r="C59" s="2">
        <v>42</v>
      </c>
      <c r="D59" s="2">
        <v>32814</v>
      </c>
      <c r="E59" s="2">
        <v>13295</v>
      </c>
      <c r="F59" s="2">
        <v>18496</v>
      </c>
      <c r="G59" s="2">
        <v>2176</v>
      </c>
      <c r="H59" s="2">
        <v>147397</v>
      </c>
      <c r="I59" s="2">
        <v>4478</v>
      </c>
      <c r="J59" s="10" t="s">
        <v>47</v>
      </c>
      <c r="K59" s="2">
        <v>14109</v>
      </c>
      <c r="L59" s="2">
        <v>234873</v>
      </c>
      <c r="M59" s="2">
        <v>3537</v>
      </c>
    </row>
    <row r="60" spans="1:13" ht="12.75" x14ac:dyDescent="0.2">
      <c r="A60" s="16" t="s">
        <v>72</v>
      </c>
      <c r="B60" s="2">
        <v>1239</v>
      </c>
      <c r="C60" s="2">
        <v>41</v>
      </c>
      <c r="D60" s="2">
        <v>33670</v>
      </c>
      <c r="E60" s="2">
        <v>13361</v>
      </c>
      <c r="F60" s="2">
        <v>18071</v>
      </c>
      <c r="G60" s="2">
        <v>1740</v>
      </c>
      <c r="H60" s="2">
        <v>145641</v>
      </c>
      <c r="I60" s="2">
        <v>5064</v>
      </c>
      <c r="J60" s="10" t="s">
        <v>47</v>
      </c>
      <c r="K60" s="2">
        <v>13540</v>
      </c>
      <c r="L60" s="2">
        <v>232367</v>
      </c>
      <c r="M60" s="2">
        <v>3564</v>
      </c>
    </row>
    <row r="61" spans="1:13" ht="12.75" x14ac:dyDescent="0.2">
      <c r="A61" s="16" t="s">
        <v>58</v>
      </c>
      <c r="B61" s="2">
        <v>1967</v>
      </c>
      <c r="C61" s="2">
        <v>38</v>
      </c>
      <c r="D61" s="2">
        <v>43542</v>
      </c>
      <c r="E61" s="2">
        <v>13666</v>
      </c>
      <c r="F61" s="2">
        <v>19246</v>
      </c>
      <c r="G61" s="2">
        <v>2091</v>
      </c>
      <c r="H61" s="2">
        <v>146517</v>
      </c>
      <c r="I61" s="2">
        <v>4703</v>
      </c>
      <c r="J61" s="10" t="s">
        <v>47</v>
      </c>
      <c r="K61" s="2">
        <v>11642</v>
      </c>
      <c r="L61" s="2">
        <v>243412</v>
      </c>
      <c r="M61" s="2">
        <v>2722</v>
      </c>
    </row>
    <row r="62" spans="1:13" ht="12.75" x14ac:dyDescent="0.2">
      <c r="A62" s="16" t="s">
        <v>59</v>
      </c>
      <c r="B62" s="2">
        <v>1868</v>
      </c>
      <c r="C62" s="2">
        <v>30</v>
      </c>
      <c r="D62" s="2">
        <v>44578</v>
      </c>
      <c r="E62" s="2">
        <v>13083</v>
      </c>
      <c r="F62" s="2">
        <v>18013</v>
      </c>
      <c r="G62" s="2">
        <v>2197</v>
      </c>
      <c r="H62" s="2">
        <v>147984</v>
      </c>
      <c r="I62" s="2">
        <v>4688</v>
      </c>
      <c r="J62" s="10" t="s">
        <v>47</v>
      </c>
      <c r="K62" s="2">
        <v>12029</v>
      </c>
      <c r="L62" s="2">
        <v>244470</v>
      </c>
      <c r="M62" s="2">
        <v>2861</v>
      </c>
    </row>
    <row r="63" spans="1:13" ht="12.75" x14ac:dyDescent="0.2">
      <c r="A63" s="16" t="s">
        <v>60</v>
      </c>
      <c r="B63" s="2">
        <v>1984</v>
      </c>
      <c r="C63" s="2">
        <v>172</v>
      </c>
      <c r="D63" s="2">
        <v>44763</v>
      </c>
      <c r="E63" s="2">
        <v>13820</v>
      </c>
      <c r="F63" s="2">
        <v>18129</v>
      </c>
      <c r="G63" s="2">
        <v>1940</v>
      </c>
      <c r="H63" s="2">
        <v>151024</v>
      </c>
      <c r="I63" s="2">
        <v>4356</v>
      </c>
      <c r="J63" s="10" t="s">
        <v>47</v>
      </c>
      <c r="K63" s="2">
        <v>12251</v>
      </c>
      <c r="L63" s="2">
        <v>248439</v>
      </c>
      <c r="M63" s="2">
        <v>3552</v>
      </c>
    </row>
    <row r="64" spans="1:13" ht="12.75" x14ac:dyDescent="0.2">
      <c r="A64" s="8" t="s">
        <v>23</v>
      </c>
      <c r="B64" s="2"/>
      <c r="C64" s="2"/>
      <c r="D64" s="2"/>
      <c r="E64" s="2"/>
      <c r="F64" s="2"/>
      <c r="G64" s="2"/>
      <c r="H64" s="2"/>
      <c r="I64" s="2"/>
      <c r="J64" s="10"/>
      <c r="K64" s="2"/>
      <c r="L64" s="2"/>
      <c r="M64" s="2"/>
    </row>
    <row r="65" spans="1:13" ht="12.75" x14ac:dyDescent="0.2">
      <c r="A65" s="16" t="s">
        <v>62</v>
      </c>
      <c r="B65" s="2">
        <v>6736</v>
      </c>
      <c r="C65" s="2">
        <v>236</v>
      </c>
      <c r="D65" s="2">
        <v>45214</v>
      </c>
      <c r="E65" s="2">
        <v>14172</v>
      </c>
      <c r="F65" s="2">
        <v>15498</v>
      </c>
      <c r="G65" s="2">
        <v>2007</v>
      </c>
      <c r="H65" s="2">
        <v>151036</v>
      </c>
      <c r="I65" s="2">
        <v>4633</v>
      </c>
      <c r="J65" s="10" t="s">
        <v>47</v>
      </c>
      <c r="K65" s="2">
        <v>13422</v>
      </c>
      <c r="L65" s="2">
        <v>252954</v>
      </c>
      <c r="M65" s="2">
        <v>3785</v>
      </c>
    </row>
    <row r="66" spans="1:13" ht="12.75" x14ac:dyDescent="0.2">
      <c r="A66" s="16" t="s">
        <v>63</v>
      </c>
      <c r="B66" s="2">
        <v>6896</v>
      </c>
      <c r="C66" s="2">
        <v>255</v>
      </c>
      <c r="D66" s="2">
        <v>47400</v>
      </c>
      <c r="E66" s="2">
        <v>16150</v>
      </c>
      <c r="F66" s="2">
        <v>15527</v>
      </c>
      <c r="G66" s="2">
        <v>2157</v>
      </c>
      <c r="H66" s="2">
        <v>154681</v>
      </c>
      <c r="I66" s="2">
        <v>4952</v>
      </c>
      <c r="J66" s="10" t="s">
        <v>47</v>
      </c>
      <c r="K66" s="2">
        <v>12412</v>
      </c>
      <c r="L66" s="2">
        <v>260430</v>
      </c>
      <c r="M66" s="2">
        <v>3282</v>
      </c>
    </row>
    <row r="67" spans="1:13" ht="12.75" x14ac:dyDescent="0.2">
      <c r="A67" s="16" t="s">
        <v>64</v>
      </c>
      <c r="B67" s="2">
        <v>11434</v>
      </c>
      <c r="C67" s="2">
        <v>299</v>
      </c>
      <c r="D67" s="2">
        <v>48632</v>
      </c>
      <c r="E67" s="2">
        <v>15584</v>
      </c>
      <c r="F67" s="2">
        <v>16601</v>
      </c>
      <c r="G67" s="2">
        <v>2452</v>
      </c>
      <c r="H67" s="2">
        <v>158359</v>
      </c>
      <c r="I67" s="2">
        <v>4889</v>
      </c>
      <c r="J67" s="10" t="s">
        <v>47</v>
      </c>
      <c r="K67" s="2">
        <v>13428</v>
      </c>
      <c r="L67" s="2">
        <v>271678</v>
      </c>
      <c r="M67" s="2">
        <v>3665</v>
      </c>
    </row>
    <row r="68" spans="1:13" ht="12.75" x14ac:dyDescent="0.2">
      <c r="A68" s="16" t="s">
        <v>65</v>
      </c>
      <c r="B68" s="2">
        <v>9985</v>
      </c>
      <c r="C68" s="2">
        <v>252</v>
      </c>
      <c r="D68" s="2">
        <v>51199</v>
      </c>
      <c r="E68" s="2">
        <v>16384</v>
      </c>
      <c r="F68" s="2">
        <v>17196</v>
      </c>
      <c r="G68" s="2">
        <v>2012</v>
      </c>
      <c r="H68" s="2">
        <v>157584</v>
      </c>
      <c r="I68" s="2">
        <v>5578</v>
      </c>
      <c r="J68" s="10" t="s">
        <v>47</v>
      </c>
      <c r="K68" s="2">
        <v>13633</v>
      </c>
      <c r="L68" s="2">
        <v>273823</v>
      </c>
      <c r="M68" s="2">
        <v>3680</v>
      </c>
    </row>
    <row r="69" spans="1:13" ht="12.75" x14ac:dyDescent="0.2">
      <c r="A69" s="16" t="s">
        <v>66</v>
      </c>
      <c r="B69" s="2">
        <v>11335</v>
      </c>
      <c r="C69" s="2">
        <v>221</v>
      </c>
      <c r="D69" s="2">
        <v>51137</v>
      </c>
      <c r="E69" s="2">
        <v>15420</v>
      </c>
      <c r="F69" s="2">
        <v>19864</v>
      </c>
      <c r="G69" s="2">
        <v>3204</v>
      </c>
      <c r="H69" s="2">
        <v>157218</v>
      </c>
      <c r="I69" s="2">
        <v>6575</v>
      </c>
      <c r="J69" s="10" t="s">
        <v>47</v>
      </c>
      <c r="K69" s="2">
        <v>14249</v>
      </c>
      <c r="L69" s="2">
        <v>279223</v>
      </c>
      <c r="M69" s="2">
        <v>3574</v>
      </c>
    </row>
    <row r="70" spans="1:13" ht="12.75" x14ac:dyDescent="0.2">
      <c r="A70" s="16" t="s">
        <v>67</v>
      </c>
      <c r="B70" s="2">
        <v>10126</v>
      </c>
      <c r="C70" s="2">
        <v>318</v>
      </c>
      <c r="D70" s="2">
        <v>55439</v>
      </c>
      <c r="E70" s="2">
        <v>16066</v>
      </c>
      <c r="F70" s="2">
        <v>20221</v>
      </c>
      <c r="G70" s="2">
        <v>2338</v>
      </c>
      <c r="H70" s="2">
        <v>161599</v>
      </c>
      <c r="I70" s="2">
        <v>5380</v>
      </c>
      <c r="J70" s="10" t="s">
        <v>47</v>
      </c>
      <c r="K70" s="2">
        <v>11554</v>
      </c>
      <c r="L70" s="2">
        <v>283041</v>
      </c>
      <c r="M70" s="2">
        <v>1851</v>
      </c>
    </row>
    <row r="71" spans="1:13" ht="12.75" x14ac:dyDescent="0.2">
      <c r="A71" s="16" t="s">
        <v>68</v>
      </c>
      <c r="B71" s="2">
        <v>10443</v>
      </c>
      <c r="C71" s="2">
        <v>246</v>
      </c>
      <c r="D71" s="2">
        <v>55031</v>
      </c>
      <c r="E71" s="2">
        <v>15213</v>
      </c>
      <c r="F71" s="2">
        <v>19384</v>
      </c>
      <c r="G71" s="2">
        <v>2839</v>
      </c>
      <c r="H71" s="2">
        <v>167963</v>
      </c>
      <c r="I71" s="2">
        <v>4228</v>
      </c>
      <c r="J71" s="10" t="s">
        <v>47</v>
      </c>
      <c r="K71" s="2">
        <v>14167</v>
      </c>
      <c r="L71" s="2">
        <v>289514</v>
      </c>
      <c r="M71" s="2">
        <v>3031</v>
      </c>
    </row>
    <row r="72" spans="1:13" ht="12.75" x14ac:dyDescent="0.2">
      <c r="A72" s="16" t="s">
        <v>69</v>
      </c>
      <c r="B72" s="2">
        <v>15837</v>
      </c>
      <c r="C72" s="2">
        <v>251</v>
      </c>
      <c r="D72" s="2">
        <v>52149</v>
      </c>
      <c r="E72" s="2">
        <v>15710</v>
      </c>
      <c r="F72" s="2">
        <v>17214</v>
      </c>
      <c r="G72" s="2">
        <v>4381</v>
      </c>
      <c r="H72" s="2">
        <v>168863</v>
      </c>
      <c r="I72" s="2">
        <v>4513</v>
      </c>
      <c r="J72" s="10" t="s">
        <v>47</v>
      </c>
      <c r="K72" s="2">
        <v>14848</v>
      </c>
      <c r="L72" s="2">
        <v>293766</v>
      </c>
      <c r="M72" s="2">
        <v>3161</v>
      </c>
    </row>
    <row r="73" spans="1:13" ht="12.75" x14ac:dyDescent="0.2">
      <c r="A73" s="16" t="s">
        <v>72</v>
      </c>
      <c r="B73" s="2">
        <v>15677</v>
      </c>
      <c r="C73" s="2">
        <v>225</v>
      </c>
      <c r="D73" s="2">
        <v>51606</v>
      </c>
      <c r="E73" s="2">
        <v>16318</v>
      </c>
      <c r="F73" s="2">
        <v>18563</v>
      </c>
      <c r="G73" s="2">
        <v>2151</v>
      </c>
      <c r="H73" s="2">
        <v>168301</v>
      </c>
      <c r="I73" s="2">
        <v>5830</v>
      </c>
      <c r="J73" s="10" t="s">
        <v>47</v>
      </c>
      <c r="K73" s="2">
        <v>16133</v>
      </c>
      <c r="L73" s="2">
        <v>297804</v>
      </c>
      <c r="M73" s="2">
        <v>6895</v>
      </c>
    </row>
    <row r="74" spans="1:13" ht="12.75" x14ac:dyDescent="0.2">
      <c r="A74" s="16" t="s">
        <v>58</v>
      </c>
      <c r="B74" s="2">
        <v>20698</v>
      </c>
      <c r="C74" s="2">
        <v>213</v>
      </c>
      <c r="D74" s="2">
        <v>54123</v>
      </c>
      <c r="E74" s="2">
        <v>16692</v>
      </c>
      <c r="F74" s="2">
        <v>21464</v>
      </c>
      <c r="G74" s="2">
        <v>1722</v>
      </c>
      <c r="H74" s="2">
        <v>166732</v>
      </c>
      <c r="I74" s="2">
        <v>5259</v>
      </c>
      <c r="J74" s="10" t="s">
        <v>47</v>
      </c>
      <c r="K74" s="2">
        <v>13539</v>
      </c>
      <c r="L74" s="2">
        <v>300442</v>
      </c>
      <c r="M74" s="2">
        <v>2913</v>
      </c>
    </row>
    <row r="75" spans="1:13" ht="12.75" x14ac:dyDescent="0.2">
      <c r="A75" s="16" t="s">
        <v>59</v>
      </c>
      <c r="B75" s="2">
        <v>20362</v>
      </c>
      <c r="C75" s="2">
        <v>198</v>
      </c>
      <c r="D75" s="2">
        <f>36640+16000+2194</f>
        <v>54834</v>
      </c>
      <c r="E75" s="2">
        <v>17246</v>
      </c>
      <c r="F75" s="2">
        <v>17787</v>
      </c>
      <c r="G75" s="2">
        <v>2268</v>
      </c>
      <c r="H75" s="2">
        <v>169147</v>
      </c>
      <c r="I75" s="2">
        <v>5661</v>
      </c>
      <c r="J75" s="10" t="s">
        <v>47</v>
      </c>
      <c r="K75" s="2">
        <v>13276</v>
      </c>
      <c r="L75" s="2">
        <v>300779</v>
      </c>
      <c r="M75" s="2">
        <v>2651</v>
      </c>
    </row>
    <row r="76" spans="1:13" ht="12.75" x14ac:dyDescent="0.2">
      <c r="A76" s="16" t="s">
        <v>60</v>
      </c>
      <c r="B76" s="2">
        <v>20212</v>
      </c>
      <c r="C76" s="2">
        <v>232</v>
      </c>
      <c r="D76" s="2">
        <v>53151</v>
      </c>
      <c r="E76" s="2">
        <v>16937</v>
      </c>
      <c r="F76" s="2">
        <v>24520</v>
      </c>
      <c r="G76" s="2">
        <v>2005</v>
      </c>
      <c r="H76" s="2">
        <v>172158</v>
      </c>
      <c r="I76" s="2">
        <v>5171</v>
      </c>
      <c r="J76" s="10" t="s">
        <v>47</v>
      </c>
      <c r="K76" s="2">
        <v>9630</v>
      </c>
      <c r="L76" s="2">
        <v>304016</v>
      </c>
      <c r="M76" s="2">
        <v>1731</v>
      </c>
    </row>
    <row r="77" spans="1:13" ht="15" customHeight="1" x14ac:dyDescent="0.2">
      <c r="A77" s="8" t="s">
        <v>24</v>
      </c>
      <c r="B77" s="2"/>
      <c r="C77" s="2"/>
      <c r="D77" s="2"/>
      <c r="E77" s="2"/>
      <c r="F77" s="2"/>
      <c r="G77" s="2"/>
      <c r="H77" s="2"/>
      <c r="I77" s="2"/>
      <c r="J77" s="10"/>
      <c r="K77" s="2"/>
      <c r="L77" s="2"/>
      <c r="M77" s="2"/>
    </row>
    <row r="78" spans="1:13" ht="12.75" x14ac:dyDescent="0.2">
      <c r="A78" s="16" t="s">
        <v>62</v>
      </c>
      <c r="B78" s="2">
        <v>21109</v>
      </c>
      <c r="C78" s="2">
        <v>316</v>
      </c>
      <c r="D78" s="2">
        <v>57045</v>
      </c>
      <c r="E78" s="2">
        <v>16520</v>
      </c>
      <c r="F78" s="2">
        <v>19692</v>
      </c>
      <c r="G78" s="2">
        <v>2208</v>
      </c>
      <c r="H78" s="2">
        <v>175554</v>
      </c>
      <c r="I78" s="2">
        <v>5625</v>
      </c>
      <c r="J78" s="10" t="s">
        <v>47</v>
      </c>
      <c r="K78" s="2">
        <v>13115</v>
      </c>
      <c r="L78" s="2">
        <v>311184</v>
      </c>
      <c r="M78" s="2">
        <v>2671</v>
      </c>
    </row>
    <row r="79" spans="1:13" ht="12.75" x14ac:dyDescent="0.2">
      <c r="A79" s="16" t="s">
        <v>63</v>
      </c>
      <c r="B79" s="2">
        <v>21715</v>
      </c>
      <c r="C79" s="2">
        <v>208</v>
      </c>
      <c r="D79" s="2">
        <v>58770</v>
      </c>
      <c r="E79" s="2">
        <v>16540</v>
      </c>
      <c r="F79" s="2">
        <v>19942</v>
      </c>
      <c r="G79" s="2">
        <v>2125</v>
      </c>
      <c r="H79" s="2">
        <v>177935</v>
      </c>
      <c r="I79" s="2">
        <v>5627</v>
      </c>
      <c r="J79" s="10" t="s">
        <v>47</v>
      </c>
      <c r="K79" s="2">
        <v>12548</v>
      </c>
      <c r="L79" s="2">
        <v>315410</v>
      </c>
      <c r="M79" s="2">
        <v>2934</v>
      </c>
    </row>
    <row r="80" spans="1:13" ht="12.75" x14ac:dyDescent="0.2">
      <c r="A80" s="16" t="s">
        <v>64</v>
      </c>
      <c r="B80" s="2">
        <v>23585</v>
      </c>
      <c r="C80" s="2">
        <v>310</v>
      </c>
      <c r="D80" s="2">
        <v>63222</v>
      </c>
      <c r="E80" s="2">
        <v>17684</v>
      </c>
      <c r="F80" s="2">
        <v>22515</v>
      </c>
      <c r="G80" s="2">
        <v>2995</v>
      </c>
      <c r="H80" s="2">
        <v>179259</v>
      </c>
      <c r="I80" s="2">
        <v>6109</v>
      </c>
      <c r="J80" s="10" t="s">
        <v>47</v>
      </c>
      <c r="K80" s="2">
        <v>11626</v>
      </c>
      <c r="L80" s="2">
        <v>327305</v>
      </c>
      <c r="M80" s="2">
        <v>1963</v>
      </c>
    </row>
    <row r="81" spans="1:13" ht="12.75" x14ac:dyDescent="0.2">
      <c r="A81" s="16" t="s">
        <v>65</v>
      </c>
      <c r="B81" s="2">
        <v>23239</v>
      </c>
      <c r="C81" s="2">
        <v>437</v>
      </c>
      <c r="D81" s="2">
        <v>64472</v>
      </c>
      <c r="E81" s="2">
        <v>17437</v>
      </c>
      <c r="F81" s="2">
        <v>24694</v>
      </c>
      <c r="G81" s="2">
        <v>2138</v>
      </c>
      <c r="H81" s="2">
        <v>179831</v>
      </c>
      <c r="I81" s="2">
        <v>6561</v>
      </c>
      <c r="J81" s="10" t="s">
        <v>47</v>
      </c>
      <c r="K81" s="2">
        <v>11488</v>
      </c>
      <c r="L81" s="2">
        <v>330297</v>
      </c>
      <c r="M81" s="2">
        <v>2038</v>
      </c>
    </row>
    <row r="82" spans="1:13" ht="12.75" x14ac:dyDescent="0.2">
      <c r="A82" s="16" t="s">
        <v>66</v>
      </c>
      <c r="B82" s="2">
        <v>23848</v>
      </c>
      <c r="C82" s="2">
        <v>257</v>
      </c>
      <c r="D82" s="2">
        <v>70976</v>
      </c>
      <c r="E82" s="2">
        <v>16506</v>
      </c>
      <c r="F82" s="2">
        <v>22088</v>
      </c>
      <c r="G82" s="2">
        <v>1939</v>
      </c>
      <c r="H82" s="2">
        <v>181947</v>
      </c>
      <c r="I82" s="2">
        <v>5882</v>
      </c>
      <c r="J82" s="10" t="s">
        <v>47</v>
      </c>
      <c r="K82" s="2">
        <v>10938</v>
      </c>
      <c r="L82" s="2">
        <v>334381</v>
      </c>
      <c r="M82" s="2">
        <v>2084</v>
      </c>
    </row>
    <row r="83" spans="1:13" ht="12.75" x14ac:dyDescent="0.2">
      <c r="A83" s="16" t="s">
        <v>67</v>
      </c>
      <c r="B83" s="2">
        <v>23565</v>
      </c>
      <c r="C83" s="2">
        <v>309</v>
      </c>
      <c r="D83" s="2">
        <v>70293</v>
      </c>
      <c r="E83" s="2">
        <v>18443</v>
      </c>
      <c r="F83" s="2">
        <v>22431</v>
      </c>
      <c r="G83" s="2">
        <v>1892</v>
      </c>
      <c r="H83" s="2">
        <v>182650</v>
      </c>
      <c r="I83" s="2">
        <v>6436</v>
      </c>
      <c r="J83" s="10" t="s">
        <v>47</v>
      </c>
      <c r="K83" s="2">
        <v>12314</v>
      </c>
      <c r="L83" s="2">
        <v>338333</v>
      </c>
      <c r="M83" s="2">
        <v>3416</v>
      </c>
    </row>
    <row r="84" spans="1:13" ht="12.75" x14ac:dyDescent="0.2">
      <c r="A84" s="16" t="s">
        <v>68</v>
      </c>
      <c r="B84" s="2">
        <v>23743</v>
      </c>
      <c r="C84" s="2">
        <v>308</v>
      </c>
      <c r="D84" s="2">
        <v>73847</v>
      </c>
      <c r="E84" s="2">
        <v>17722</v>
      </c>
      <c r="F84" s="2">
        <v>22464</v>
      </c>
      <c r="G84" s="2">
        <v>1796</v>
      </c>
      <c r="H84" s="2">
        <v>187658</v>
      </c>
      <c r="I84" s="2">
        <v>5595</v>
      </c>
      <c r="J84" s="10" t="s">
        <v>47</v>
      </c>
      <c r="K84" s="2">
        <v>12016</v>
      </c>
      <c r="L84" s="2">
        <v>345149</v>
      </c>
      <c r="M84" s="2">
        <v>2693</v>
      </c>
    </row>
    <row r="85" spans="1:13" ht="12.75" x14ac:dyDescent="0.2">
      <c r="A85" s="16" t="s">
        <v>69</v>
      </c>
      <c r="B85" s="2">
        <v>23936</v>
      </c>
      <c r="C85" s="2">
        <v>369</v>
      </c>
      <c r="D85" s="2">
        <v>73210</v>
      </c>
      <c r="E85" s="2">
        <v>17564</v>
      </c>
      <c r="F85" s="2">
        <v>24847</v>
      </c>
      <c r="G85" s="2">
        <v>2349</v>
      </c>
      <c r="H85" s="2">
        <v>184434</v>
      </c>
      <c r="I85" s="2">
        <v>5393</v>
      </c>
      <c r="J85" s="10" t="s">
        <v>47</v>
      </c>
      <c r="K85" s="2">
        <v>9974</v>
      </c>
      <c r="L85" s="2">
        <v>342076</v>
      </c>
      <c r="M85" s="2">
        <v>2408</v>
      </c>
    </row>
    <row r="86" spans="1:13" ht="12.75" x14ac:dyDescent="0.2">
      <c r="A86" s="16" t="s">
        <v>72</v>
      </c>
      <c r="B86" s="2">
        <v>23314</v>
      </c>
      <c r="C86" s="2">
        <v>387</v>
      </c>
      <c r="D86" s="2">
        <v>71981</v>
      </c>
      <c r="E86" s="2">
        <v>17580</v>
      </c>
      <c r="F86" s="2">
        <v>22736</v>
      </c>
      <c r="G86" s="2">
        <v>1800</v>
      </c>
      <c r="H86" s="2">
        <v>190171</v>
      </c>
      <c r="I86" s="2">
        <v>7726</v>
      </c>
      <c r="J86" s="10" t="s">
        <v>47</v>
      </c>
      <c r="K86" s="2">
        <v>13668</v>
      </c>
      <c r="L86" s="2">
        <v>349363</v>
      </c>
      <c r="M86" s="2">
        <v>2533</v>
      </c>
    </row>
    <row r="87" spans="1:13" ht="12.75" x14ac:dyDescent="0.2">
      <c r="A87" s="16" t="s">
        <v>58</v>
      </c>
      <c r="B87" s="2">
        <v>29962</v>
      </c>
      <c r="C87" s="2">
        <v>359</v>
      </c>
      <c r="D87" s="2">
        <v>63747</v>
      </c>
      <c r="E87" s="2">
        <v>18248</v>
      </c>
      <c r="F87" s="2">
        <v>21040</v>
      </c>
      <c r="G87" s="2">
        <v>2235</v>
      </c>
      <c r="H87" s="2">
        <v>195589</v>
      </c>
      <c r="I87" s="2">
        <v>6302</v>
      </c>
      <c r="J87" s="10" t="s">
        <v>47</v>
      </c>
      <c r="K87" s="2">
        <v>17466</v>
      </c>
      <c r="L87" s="2">
        <v>354948</v>
      </c>
      <c r="M87" s="2">
        <v>6976</v>
      </c>
    </row>
    <row r="88" spans="1:13" ht="12.75" x14ac:dyDescent="0.2">
      <c r="A88" s="16" t="s">
        <v>59</v>
      </c>
      <c r="B88" s="2">
        <v>29090</v>
      </c>
      <c r="C88" s="2">
        <v>253</v>
      </c>
      <c r="D88" s="2">
        <v>69734</v>
      </c>
      <c r="E88" s="2">
        <v>18713</v>
      </c>
      <c r="F88" s="2">
        <v>22734</v>
      </c>
      <c r="G88" s="2">
        <v>2729</v>
      </c>
      <c r="H88" s="2">
        <v>195542</v>
      </c>
      <c r="I88" s="2">
        <v>7023</v>
      </c>
      <c r="J88" s="10" t="s">
        <v>47</v>
      </c>
      <c r="K88" s="2">
        <v>17770</v>
      </c>
      <c r="L88" s="2">
        <v>363588</v>
      </c>
      <c r="M88" s="2">
        <v>6249</v>
      </c>
    </row>
    <row r="89" spans="1:13" ht="12.75" x14ac:dyDescent="0.2">
      <c r="A89" s="16" t="s">
        <v>60</v>
      </c>
      <c r="B89" s="2">
        <v>29919</v>
      </c>
      <c r="C89" s="2">
        <v>403</v>
      </c>
      <c r="D89" s="2">
        <v>68285</v>
      </c>
      <c r="E89" s="2">
        <v>18854</v>
      </c>
      <c r="F89" s="2">
        <v>21014</v>
      </c>
      <c r="G89" s="2">
        <v>2018</v>
      </c>
      <c r="H89" s="2">
        <v>199320</v>
      </c>
      <c r="I89" s="2">
        <v>6133</v>
      </c>
      <c r="J89" s="10" t="s">
        <v>47</v>
      </c>
      <c r="K89" s="2">
        <v>17667</v>
      </c>
      <c r="L89" s="2">
        <v>363613</v>
      </c>
      <c r="M89" s="2">
        <v>4169</v>
      </c>
    </row>
    <row r="90" spans="1:13" ht="12.75" x14ac:dyDescent="0.2">
      <c r="A90" s="8" t="s">
        <v>25</v>
      </c>
      <c r="B90" s="2"/>
      <c r="C90" s="2"/>
      <c r="D90" s="2"/>
      <c r="E90" s="2"/>
      <c r="F90" s="2"/>
      <c r="G90" s="2"/>
      <c r="H90" s="2"/>
      <c r="I90" s="2"/>
      <c r="J90" s="10"/>
      <c r="K90" s="2"/>
      <c r="L90" s="2" t="s">
        <v>14</v>
      </c>
      <c r="M90" s="2"/>
    </row>
    <row r="91" spans="1:13" ht="12.75" x14ac:dyDescent="0.2">
      <c r="A91" s="16" t="s">
        <v>62</v>
      </c>
      <c r="B91" s="2">
        <v>29532</v>
      </c>
      <c r="C91" s="2">
        <v>211</v>
      </c>
      <c r="D91" s="2">
        <f>3754+14753+48820</f>
        <v>67327</v>
      </c>
      <c r="E91" s="22" t="s">
        <v>53</v>
      </c>
      <c r="F91" s="35">
        <v>34228</v>
      </c>
      <c r="G91" s="35">
        <v>6692</v>
      </c>
      <c r="H91" s="35">
        <v>217123</v>
      </c>
      <c r="I91" s="22" t="s">
        <v>54</v>
      </c>
      <c r="J91" s="10" t="s">
        <v>47</v>
      </c>
      <c r="K91" s="35">
        <v>12902</v>
      </c>
      <c r="L91" s="35">
        <f>270945+97070</f>
        <v>368015</v>
      </c>
      <c r="M91" s="22" t="s">
        <v>52</v>
      </c>
    </row>
    <row r="92" spans="1:13" ht="12.75" x14ac:dyDescent="0.2">
      <c r="A92" s="16" t="s">
        <v>63</v>
      </c>
      <c r="B92" s="2">
        <v>31816</v>
      </c>
      <c r="C92" s="2">
        <v>212</v>
      </c>
      <c r="D92" s="2">
        <f>3642+13924+51261</f>
        <v>68827</v>
      </c>
      <c r="E92" s="22" t="s">
        <v>53</v>
      </c>
      <c r="F92" s="35">
        <v>36886</v>
      </c>
      <c r="G92" s="35">
        <v>7586</v>
      </c>
      <c r="H92" s="35">
        <v>216281</v>
      </c>
      <c r="I92" s="22" t="s">
        <v>54</v>
      </c>
      <c r="J92" s="10" t="s">
        <v>47</v>
      </c>
      <c r="K92" s="35">
        <v>10818</v>
      </c>
      <c r="L92" s="35">
        <f>100855+271571</f>
        <v>372426</v>
      </c>
      <c r="M92" s="22" t="s">
        <v>52</v>
      </c>
    </row>
    <row r="93" spans="1:13" ht="12.75" x14ac:dyDescent="0.2">
      <c r="A93" s="16" t="s">
        <v>64</v>
      </c>
      <c r="B93" s="2">
        <v>40853</v>
      </c>
      <c r="C93" s="2">
        <v>912</v>
      </c>
      <c r="D93" s="2">
        <f>6574+15639+51933</f>
        <v>74146</v>
      </c>
      <c r="E93" s="2">
        <v>10517</v>
      </c>
      <c r="F93" s="2">
        <v>38999</v>
      </c>
      <c r="G93" s="2">
        <v>9092</v>
      </c>
      <c r="H93" s="2">
        <v>206629</v>
      </c>
      <c r="I93" s="2">
        <v>7446</v>
      </c>
      <c r="J93" s="10" t="s">
        <v>47</v>
      </c>
      <c r="K93" s="2">
        <v>4711</v>
      </c>
      <c r="L93" s="2">
        <v>393305</v>
      </c>
      <c r="M93" s="2">
        <f>18988+112</f>
        <v>19100</v>
      </c>
    </row>
    <row r="94" spans="1:13" ht="12.75" x14ac:dyDescent="0.2">
      <c r="A94" s="16" t="s">
        <v>65</v>
      </c>
      <c r="B94" s="2">
        <v>40356</v>
      </c>
      <c r="C94" s="2">
        <v>538</v>
      </c>
      <c r="D94" s="2">
        <f>5912+15655+52534</f>
        <v>74101</v>
      </c>
      <c r="E94" s="2">
        <v>11283</v>
      </c>
      <c r="F94" s="2">
        <v>34909</v>
      </c>
      <c r="G94" s="2">
        <v>7502</v>
      </c>
      <c r="H94" s="2">
        <v>207334</v>
      </c>
      <c r="I94" s="2">
        <v>7056</v>
      </c>
      <c r="J94" s="10" t="s">
        <v>47</v>
      </c>
      <c r="K94" s="2">
        <v>7434</v>
      </c>
      <c r="L94" s="2">
        <v>390513</v>
      </c>
      <c r="M94" s="2">
        <f>19234+224</f>
        <v>19458</v>
      </c>
    </row>
    <row r="95" spans="1:13" ht="12.75" x14ac:dyDescent="0.2">
      <c r="A95" s="16" t="s">
        <v>66</v>
      </c>
      <c r="B95" s="2">
        <v>41218</v>
      </c>
      <c r="C95" s="2">
        <v>287</v>
      </c>
      <c r="D95" s="2">
        <v>74495</v>
      </c>
      <c r="E95" s="2">
        <v>11494</v>
      </c>
      <c r="F95" s="2">
        <v>33622</v>
      </c>
      <c r="G95" s="2">
        <v>7955</v>
      </c>
      <c r="H95" s="2">
        <v>214677</v>
      </c>
      <c r="I95" s="2">
        <v>8092</v>
      </c>
      <c r="J95" s="10" t="s">
        <v>47</v>
      </c>
      <c r="K95" s="2">
        <v>7694</v>
      </c>
      <c r="L95" s="2">
        <v>399534</v>
      </c>
      <c r="M95" s="2">
        <v>13903</v>
      </c>
    </row>
    <row r="96" spans="1:13" ht="12.75" x14ac:dyDescent="0.2">
      <c r="A96" s="16" t="s">
        <v>67</v>
      </c>
      <c r="B96" s="2">
        <v>40602</v>
      </c>
      <c r="C96" s="2">
        <v>268</v>
      </c>
      <c r="D96" s="2">
        <f>5582+17984+51269</f>
        <v>74835</v>
      </c>
      <c r="E96" s="2">
        <v>11619</v>
      </c>
      <c r="F96" s="2">
        <v>38389</v>
      </c>
      <c r="G96" s="2">
        <v>6985</v>
      </c>
      <c r="H96" s="2">
        <v>216747</v>
      </c>
      <c r="I96" s="2">
        <v>8085</v>
      </c>
      <c r="J96" s="10" t="s">
        <v>47</v>
      </c>
      <c r="K96" s="2">
        <v>7546</v>
      </c>
      <c r="L96" s="2">
        <f>289371+115705</f>
        <v>405076</v>
      </c>
      <c r="M96" s="2">
        <v>12204</v>
      </c>
    </row>
    <row r="97" spans="1:13" ht="12.75" x14ac:dyDescent="0.2">
      <c r="A97" s="16" t="s">
        <v>68</v>
      </c>
      <c r="B97" s="2">
        <v>40491</v>
      </c>
      <c r="C97" s="2">
        <v>272</v>
      </c>
      <c r="D97" s="2">
        <f>7547+19497+50853</f>
        <v>77897</v>
      </c>
      <c r="E97" s="2">
        <v>11701</v>
      </c>
      <c r="F97" s="2">
        <v>37640</v>
      </c>
      <c r="G97" s="2">
        <v>6921</v>
      </c>
      <c r="H97" s="2">
        <v>221452</v>
      </c>
      <c r="I97" s="2">
        <v>7087</v>
      </c>
      <c r="J97" s="10" t="s">
        <v>47</v>
      </c>
      <c r="K97" s="2">
        <v>10067</v>
      </c>
      <c r="L97" s="2">
        <v>413528</v>
      </c>
      <c r="M97" s="2">
        <f>12725+394</f>
        <v>13119</v>
      </c>
    </row>
    <row r="98" spans="1:13" ht="12.75" x14ac:dyDescent="0.2">
      <c r="A98" s="16" t="s">
        <v>69</v>
      </c>
      <c r="B98" s="2">
        <v>40777</v>
      </c>
      <c r="C98" s="2">
        <v>363</v>
      </c>
      <c r="D98" s="2">
        <f>7055+17825+52092</f>
        <v>76972</v>
      </c>
      <c r="E98" s="2">
        <v>11551</v>
      </c>
      <c r="F98" s="2">
        <v>35417</v>
      </c>
      <c r="G98" s="2">
        <v>7088</v>
      </c>
      <c r="H98" s="2">
        <v>223741</v>
      </c>
      <c r="I98" s="2">
        <v>7707</v>
      </c>
      <c r="J98" s="10" t="s">
        <v>47</v>
      </c>
      <c r="K98" s="2">
        <v>8996</v>
      </c>
      <c r="L98" s="2">
        <v>412612</v>
      </c>
      <c r="M98" s="2">
        <f>12198+107</f>
        <v>12305</v>
      </c>
    </row>
    <row r="99" spans="1:13" ht="12.75" x14ac:dyDescent="0.2">
      <c r="A99" s="16" t="s">
        <v>72</v>
      </c>
      <c r="B99" s="2">
        <v>40453</v>
      </c>
      <c r="C99" s="2">
        <v>525</v>
      </c>
      <c r="D99" s="2">
        <f>6598+13804+52224</f>
        <v>72626</v>
      </c>
      <c r="E99" s="2">
        <v>11979</v>
      </c>
      <c r="F99" s="2">
        <v>33588</v>
      </c>
      <c r="G99" s="2">
        <v>7335</v>
      </c>
      <c r="H99" s="2">
        <v>222503</v>
      </c>
      <c r="I99" s="2">
        <v>7490</v>
      </c>
      <c r="J99" s="10" t="s">
        <v>47</v>
      </c>
      <c r="K99" s="2">
        <v>9931</v>
      </c>
      <c r="L99" s="2">
        <v>406430</v>
      </c>
      <c r="M99" s="2">
        <f>10847+111</f>
        <v>10958</v>
      </c>
    </row>
    <row r="100" spans="1:13" ht="12.75" x14ac:dyDescent="0.2">
      <c r="A100" s="16" t="s">
        <v>58</v>
      </c>
      <c r="B100" s="2">
        <v>39536</v>
      </c>
      <c r="C100" s="2">
        <v>281</v>
      </c>
      <c r="D100" s="2">
        <f>6193+14318+55727</f>
        <v>76238</v>
      </c>
      <c r="E100" s="2">
        <v>11831</v>
      </c>
      <c r="F100" s="2">
        <v>33801</v>
      </c>
      <c r="G100" s="2">
        <v>6794</v>
      </c>
      <c r="H100" s="2">
        <v>226295</v>
      </c>
      <c r="I100" s="2">
        <v>7151</v>
      </c>
      <c r="J100" s="10" t="s">
        <v>47</v>
      </c>
      <c r="K100" s="2">
        <v>9689</v>
      </c>
      <c r="L100" s="2">
        <v>411616</v>
      </c>
      <c r="M100" s="2">
        <f>13532+63</f>
        <v>13595</v>
      </c>
    </row>
    <row r="101" spans="1:13" ht="12.75" x14ac:dyDescent="0.2">
      <c r="A101" s="16" t="s">
        <v>59</v>
      </c>
      <c r="B101" s="2">
        <v>36439</v>
      </c>
      <c r="C101" s="2">
        <v>259</v>
      </c>
      <c r="D101" s="2">
        <f>8586+14927+55544</f>
        <v>79057</v>
      </c>
      <c r="E101" s="2">
        <v>11269</v>
      </c>
      <c r="F101" s="2">
        <v>32981</v>
      </c>
      <c r="G101" s="2">
        <v>7001</v>
      </c>
      <c r="H101" s="2">
        <v>231851</v>
      </c>
      <c r="I101" s="2">
        <v>7871</v>
      </c>
      <c r="J101" s="10" t="s">
        <v>47</v>
      </c>
      <c r="K101" s="2">
        <v>10164</v>
      </c>
      <c r="L101" s="2">
        <v>416892</v>
      </c>
      <c r="M101" s="2">
        <f>14193+71</f>
        <v>14264</v>
      </c>
    </row>
    <row r="102" spans="1:13" ht="12.75" x14ac:dyDescent="0.2">
      <c r="A102" s="16" t="s">
        <v>60</v>
      </c>
      <c r="B102" s="2">
        <v>35974</v>
      </c>
      <c r="C102" s="2">
        <v>631</v>
      </c>
      <c r="D102" s="2">
        <f>6463+15519+55807</f>
        <v>77789</v>
      </c>
      <c r="E102" s="2">
        <v>11013</v>
      </c>
      <c r="F102" s="2">
        <v>35524</v>
      </c>
      <c r="G102" s="2">
        <v>5971</v>
      </c>
      <c r="H102" s="2">
        <v>229804</v>
      </c>
      <c r="I102" s="2">
        <v>6853</v>
      </c>
      <c r="J102" s="10" t="s">
        <v>47</v>
      </c>
      <c r="K102" s="2">
        <v>8729</v>
      </c>
      <c r="L102" s="2">
        <v>412288</v>
      </c>
      <c r="M102" s="2">
        <f>91+10407</f>
        <v>10498</v>
      </c>
    </row>
    <row r="103" spans="1:13" ht="12.75" x14ac:dyDescent="0.2">
      <c r="A103" s="8" t="s">
        <v>26</v>
      </c>
      <c r="B103" s="2"/>
      <c r="C103" s="2"/>
      <c r="D103" s="2"/>
      <c r="E103" s="2"/>
      <c r="F103" s="2"/>
      <c r="G103" s="2"/>
      <c r="H103" s="2"/>
      <c r="I103" s="2"/>
      <c r="J103" s="10"/>
      <c r="K103" s="2"/>
      <c r="L103" s="2"/>
      <c r="M103" s="2"/>
    </row>
    <row r="104" spans="1:13" ht="12.75" x14ac:dyDescent="0.2">
      <c r="A104" s="16" t="s">
        <v>62</v>
      </c>
      <c r="B104" s="2">
        <v>36549</v>
      </c>
      <c r="C104" s="2">
        <v>506</v>
      </c>
      <c r="D104" s="2">
        <f>5056+16110+52401</f>
        <v>73567</v>
      </c>
      <c r="E104" s="2">
        <v>10953</v>
      </c>
      <c r="F104" s="2">
        <v>38824</v>
      </c>
      <c r="G104" s="2">
        <v>6179</v>
      </c>
      <c r="H104" s="2">
        <v>229852</v>
      </c>
      <c r="I104" s="2">
        <v>8217</v>
      </c>
      <c r="J104" s="10" t="s">
        <v>47</v>
      </c>
      <c r="K104" s="2">
        <v>8174</v>
      </c>
      <c r="L104" s="2">
        <v>412821</v>
      </c>
      <c r="M104" s="2">
        <f>13255+97</f>
        <v>13352</v>
      </c>
    </row>
    <row r="105" spans="1:13" ht="12.75" x14ac:dyDescent="0.2">
      <c r="A105" s="16" t="s">
        <v>63</v>
      </c>
      <c r="B105" s="2">
        <v>38993</v>
      </c>
      <c r="C105" s="2">
        <v>558</v>
      </c>
      <c r="D105" s="2">
        <f>4994+16558+49258</f>
        <v>70810</v>
      </c>
      <c r="E105" s="2">
        <v>11034</v>
      </c>
      <c r="F105" s="2">
        <v>42367</v>
      </c>
      <c r="G105" s="2">
        <v>7144</v>
      </c>
      <c r="H105" s="2">
        <v>229307</v>
      </c>
      <c r="I105" s="2">
        <v>8457</v>
      </c>
      <c r="J105" s="10" t="s">
        <v>47</v>
      </c>
      <c r="K105" s="2">
        <v>8517</v>
      </c>
      <c r="L105" s="2">
        <v>417187</v>
      </c>
      <c r="M105" s="2">
        <f>12216+104</f>
        <v>12320</v>
      </c>
    </row>
    <row r="106" spans="1:13" ht="12.75" x14ac:dyDescent="0.2">
      <c r="A106" s="16" t="s">
        <v>64</v>
      </c>
      <c r="B106" s="2">
        <v>39763</v>
      </c>
      <c r="C106" s="2">
        <v>401</v>
      </c>
      <c r="D106" s="2">
        <f>4445+16969+53075</f>
        <v>74489</v>
      </c>
      <c r="E106" s="2">
        <v>11865</v>
      </c>
      <c r="F106" s="2">
        <v>43849</v>
      </c>
      <c r="G106" s="2">
        <v>7448</v>
      </c>
      <c r="H106" s="2">
        <v>231974</v>
      </c>
      <c r="I106" s="2">
        <v>7586</v>
      </c>
      <c r="J106" s="10" t="s">
        <v>47</v>
      </c>
      <c r="K106" s="2">
        <v>8808</v>
      </c>
      <c r="L106" s="2">
        <v>426183</v>
      </c>
      <c r="M106" s="2">
        <f>12287+177</f>
        <v>12464</v>
      </c>
    </row>
    <row r="107" spans="1:13" ht="12.75" x14ac:dyDescent="0.2">
      <c r="A107" s="16" t="s">
        <v>65</v>
      </c>
      <c r="B107" s="2">
        <v>39904</v>
      </c>
      <c r="C107" s="2">
        <v>389</v>
      </c>
      <c r="D107" s="2">
        <f>4135+14845+56000</f>
        <v>74980</v>
      </c>
      <c r="E107" s="2">
        <v>12472</v>
      </c>
      <c r="F107" s="2">
        <v>47451</v>
      </c>
      <c r="G107" s="2">
        <v>7510</v>
      </c>
      <c r="H107" s="2">
        <v>236990</v>
      </c>
      <c r="I107" s="2">
        <v>7848</v>
      </c>
      <c r="J107" s="10" t="s">
        <v>47</v>
      </c>
      <c r="K107" s="2">
        <v>9070</v>
      </c>
      <c r="L107" s="2">
        <f>321341+115273</f>
        <v>436614</v>
      </c>
      <c r="M107" s="2">
        <f>14006+92</f>
        <v>14098</v>
      </c>
    </row>
    <row r="108" spans="1:13" ht="12.75" x14ac:dyDescent="0.2">
      <c r="A108" s="16" t="s">
        <v>66</v>
      </c>
      <c r="B108" s="2">
        <v>40054</v>
      </c>
      <c r="C108" s="2">
        <v>230</v>
      </c>
      <c r="D108" s="2">
        <f>5173+16822+55187</f>
        <v>77182</v>
      </c>
      <c r="E108" s="2">
        <v>12763</v>
      </c>
      <c r="F108" s="2">
        <v>46540</v>
      </c>
      <c r="G108" s="2">
        <v>6401</v>
      </c>
      <c r="H108" s="2">
        <v>241443</v>
      </c>
      <c r="I108" s="2">
        <v>8447</v>
      </c>
      <c r="J108" s="10" t="s">
        <v>47</v>
      </c>
      <c r="K108" s="2">
        <v>8918</v>
      </c>
      <c r="L108" s="2">
        <v>441978</v>
      </c>
      <c r="M108" s="2">
        <f>12323+41</f>
        <v>12364</v>
      </c>
    </row>
    <row r="109" spans="1:13" ht="12.75" x14ac:dyDescent="0.2">
      <c r="A109" s="16" t="s">
        <v>67</v>
      </c>
      <c r="B109" s="2">
        <v>40029</v>
      </c>
      <c r="C109" s="2">
        <v>882</v>
      </c>
      <c r="D109" s="2">
        <f>5875+10153+54844</f>
        <v>70872</v>
      </c>
      <c r="E109" s="2">
        <v>13238</v>
      </c>
      <c r="F109" s="2">
        <v>63320</v>
      </c>
      <c r="G109" s="2">
        <v>5768</v>
      </c>
      <c r="H109" s="2">
        <v>244543</v>
      </c>
      <c r="I109" s="2">
        <v>7663</v>
      </c>
      <c r="J109" s="10" t="s">
        <v>47</v>
      </c>
      <c r="K109" s="2">
        <v>8302</v>
      </c>
      <c r="L109" s="2">
        <v>454617</v>
      </c>
      <c r="M109" s="2">
        <f>17288+106</f>
        <v>17394</v>
      </c>
    </row>
    <row r="110" spans="1:13" ht="12.75" x14ac:dyDescent="0.2">
      <c r="A110" s="16" t="s">
        <v>68</v>
      </c>
      <c r="B110" s="2">
        <v>36781</v>
      </c>
      <c r="C110" s="2">
        <v>693</v>
      </c>
      <c r="D110" s="2">
        <f>6798+4433+55405</f>
        <v>66636</v>
      </c>
      <c r="E110" s="2">
        <v>12718</v>
      </c>
      <c r="F110" s="2">
        <v>60071</v>
      </c>
      <c r="G110" s="2">
        <v>5651</v>
      </c>
      <c r="H110" s="2">
        <v>248389</v>
      </c>
      <c r="I110" s="2">
        <v>8225</v>
      </c>
      <c r="J110" s="10" t="s">
        <v>47</v>
      </c>
      <c r="K110" s="2">
        <v>14289</v>
      </c>
      <c r="L110" s="2">
        <v>453453</v>
      </c>
      <c r="M110" s="2">
        <f>16777+94</f>
        <v>16871</v>
      </c>
    </row>
    <row r="111" spans="1:13" ht="12.75" x14ac:dyDescent="0.2">
      <c r="A111" s="16" t="s">
        <v>69</v>
      </c>
      <c r="B111" s="2">
        <v>34777</v>
      </c>
      <c r="C111" s="2">
        <v>388</v>
      </c>
      <c r="D111" s="2">
        <f>6252+5163+51457</f>
        <v>62872</v>
      </c>
      <c r="E111" s="2">
        <v>12856</v>
      </c>
      <c r="F111" s="2">
        <v>59830</v>
      </c>
      <c r="G111" s="2">
        <v>5768</v>
      </c>
      <c r="H111" s="2">
        <v>252631</v>
      </c>
      <c r="I111" s="2">
        <v>8224</v>
      </c>
      <c r="J111" s="10" t="s">
        <v>47</v>
      </c>
      <c r="K111" s="2">
        <v>14775</v>
      </c>
      <c r="L111" s="2">
        <v>452121</v>
      </c>
      <c r="M111" s="2">
        <f>13381+66</f>
        <v>13447</v>
      </c>
    </row>
    <row r="112" spans="1:13" ht="12.75" x14ac:dyDescent="0.2">
      <c r="A112" s="16" t="s">
        <v>72</v>
      </c>
      <c r="B112" s="2">
        <v>32392</v>
      </c>
      <c r="C112" s="2">
        <v>537</v>
      </c>
      <c r="D112" s="2">
        <f>5765+4608+49838</f>
        <v>60211</v>
      </c>
      <c r="E112" s="2">
        <v>12193</v>
      </c>
      <c r="F112" s="2">
        <v>62301</v>
      </c>
      <c r="G112" s="2">
        <v>5849</v>
      </c>
      <c r="H112" s="2">
        <v>256167</v>
      </c>
      <c r="I112" s="2">
        <v>8171</v>
      </c>
      <c r="J112" s="10" t="s">
        <v>47</v>
      </c>
      <c r="K112" s="2">
        <v>15618</v>
      </c>
      <c r="L112" s="2">
        <v>453439</v>
      </c>
      <c r="M112" s="2">
        <f>14316+66</f>
        <v>14382</v>
      </c>
    </row>
    <row r="113" spans="1:13" ht="12.75" x14ac:dyDescent="0.2">
      <c r="A113" s="16" t="s">
        <v>58</v>
      </c>
      <c r="B113" s="2">
        <v>32209</v>
      </c>
      <c r="C113" s="2">
        <v>617</v>
      </c>
      <c r="D113" s="2">
        <f>4163+4365+49689</f>
        <v>58217</v>
      </c>
      <c r="E113" s="2">
        <v>12095</v>
      </c>
      <c r="F113" s="2">
        <v>57904</v>
      </c>
      <c r="G113" s="2">
        <v>5590</v>
      </c>
      <c r="H113" s="2">
        <v>260079</v>
      </c>
      <c r="I113" s="2">
        <v>8563</v>
      </c>
      <c r="J113" s="10" t="s">
        <v>47</v>
      </c>
      <c r="K113" s="2">
        <v>16739</v>
      </c>
      <c r="L113" s="2">
        <v>452013</v>
      </c>
      <c r="M113" s="2">
        <f>14188+36</f>
        <v>14224</v>
      </c>
    </row>
    <row r="114" spans="1:13" ht="12.75" x14ac:dyDescent="0.2">
      <c r="A114" s="16" t="s">
        <v>59</v>
      </c>
      <c r="B114" s="2">
        <v>31267</v>
      </c>
      <c r="C114" s="2">
        <v>610</v>
      </c>
      <c r="D114" s="2">
        <f>4231+3916+48198</f>
        <v>56345</v>
      </c>
      <c r="E114" s="2">
        <v>12688</v>
      </c>
      <c r="F114" s="2">
        <v>63145</v>
      </c>
      <c r="G114" s="2">
        <v>5669</v>
      </c>
      <c r="H114" s="2">
        <v>260017</v>
      </c>
      <c r="I114" s="2">
        <v>8013</v>
      </c>
      <c r="J114" s="10" t="s">
        <v>47</v>
      </c>
      <c r="K114" s="2">
        <v>19130</v>
      </c>
      <c r="L114" s="2">
        <v>456884</v>
      </c>
      <c r="M114" s="2">
        <f>15615+22</f>
        <v>15637</v>
      </c>
    </row>
    <row r="115" spans="1:13" ht="12.75" x14ac:dyDescent="0.2">
      <c r="A115" s="16" t="s">
        <v>60</v>
      </c>
      <c r="B115" s="2">
        <v>31211</v>
      </c>
      <c r="C115" s="2">
        <v>701</v>
      </c>
      <c r="D115" s="2">
        <f>2769+3621+51077</f>
        <v>57467</v>
      </c>
      <c r="E115" s="2">
        <v>13313</v>
      </c>
      <c r="F115" s="2">
        <v>54112</v>
      </c>
      <c r="G115" s="2">
        <v>5476</v>
      </c>
      <c r="H115" s="2">
        <v>259138</v>
      </c>
      <c r="I115" s="2">
        <v>7250</v>
      </c>
      <c r="J115" s="10" t="s">
        <v>47</v>
      </c>
      <c r="K115" s="2">
        <v>20749</v>
      </c>
      <c r="L115" s="2">
        <v>449417</v>
      </c>
      <c r="M115" s="2">
        <f>15591+22</f>
        <v>15613</v>
      </c>
    </row>
    <row r="116" spans="1:13" ht="15" customHeight="1" x14ac:dyDescent="0.2">
      <c r="A116" s="8" t="s">
        <v>27</v>
      </c>
      <c r="B116" s="2"/>
      <c r="C116" s="2"/>
      <c r="D116" s="2"/>
      <c r="E116" s="2"/>
      <c r="F116" s="2"/>
      <c r="G116" s="2"/>
      <c r="H116" s="2"/>
      <c r="I116" s="2"/>
      <c r="J116" s="10"/>
      <c r="K116" s="2"/>
      <c r="L116" s="2"/>
      <c r="M116" s="2"/>
    </row>
    <row r="117" spans="1:13" ht="12.75" x14ac:dyDescent="0.2">
      <c r="A117" s="16" t="s">
        <v>62</v>
      </c>
      <c r="B117" s="2">
        <v>52815</v>
      </c>
      <c r="C117" s="2">
        <v>621</v>
      </c>
      <c r="D117" s="2">
        <f>2596+2970+49920</f>
        <v>55486</v>
      </c>
      <c r="E117" s="2">
        <v>14148</v>
      </c>
      <c r="F117" s="2">
        <v>57187</v>
      </c>
      <c r="G117" s="2">
        <v>11424</v>
      </c>
      <c r="H117" s="2">
        <v>256324</v>
      </c>
      <c r="I117" s="2">
        <v>8796</v>
      </c>
      <c r="J117" s="10" t="s">
        <v>47</v>
      </c>
      <c r="K117" s="2">
        <v>17915</v>
      </c>
      <c r="L117" s="2">
        <v>474716</v>
      </c>
      <c r="M117" s="2">
        <v>14533</v>
      </c>
    </row>
    <row r="118" spans="1:13" ht="12.75" x14ac:dyDescent="0.2">
      <c r="A118" s="16" t="s">
        <v>63</v>
      </c>
      <c r="B118" s="2">
        <v>52156</v>
      </c>
      <c r="C118" s="2">
        <v>459</v>
      </c>
      <c r="D118" s="2">
        <f>103777-52615</f>
        <v>51162</v>
      </c>
      <c r="E118" s="2">
        <v>14565</v>
      </c>
      <c r="F118" s="2">
        <v>67849</v>
      </c>
      <c r="G118" s="2">
        <v>5805</v>
      </c>
      <c r="H118" s="2">
        <v>261262</v>
      </c>
      <c r="I118" s="2">
        <v>8219</v>
      </c>
      <c r="J118" s="10" t="s">
        <v>47</v>
      </c>
      <c r="K118" s="2">
        <v>18252</v>
      </c>
      <c r="L118" s="2">
        <v>479729</v>
      </c>
      <c r="M118" s="2">
        <f>18055+11757</f>
        <v>29812</v>
      </c>
    </row>
    <row r="119" spans="1:13" ht="12.75" x14ac:dyDescent="0.2">
      <c r="A119" s="16" t="s">
        <v>64</v>
      </c>
      <c r="B119" s="2">
        <v>53310</v>
      </c>
      <c r="C119" s="2">
        <v>602</v>
      </c>
      <c r="D119" s="2">
        <f>106940-53912</f>
        <v>53028</v>
      </c>
      <c r="E119" s="2">
        <v>15197</v>
      </c>
      <c r="F119" s="2">
        <v>58741</v>
      </c>
      <c r="G119" s="2">
        <v>7704</v>
      </c>
      <c r="H119" s="2">
        <v>264191</v>
      </c>
      <c r="I119" s="2">
        <v>7702</v>
      </c>
      <c r="J119" s="10" t="s">
        <v>47</v>
      </c>
      <c r="K119" s="2">
        <v>22959</v>
      </c>
      <c r="L119" s="2">
        <v>483434</v>
      </c>
      <c r="M119" s="2">
        <f>15760+13249</f>
        <v>29009</v>
      </c>
    </row>
    <row r="120" spans="1:13" ht="12.75" x14ac:dyDescent="0.2">
      <c r="A120" s="16" t="s">
        <v>65</v>
      </c>
      <c r="B120" s="2">
        <v>53663</v>
      </c>
      <c r="C120" s="2">
        <v>347</v>
      </c>
      <c r="D120" s="2">
        <f>98419-54010</f>
        <v>44409</v>
      </c>
      <c r="E120" s="2">
        <v>17037</v>
      </c>
      <c r="F120" s="2">
        <v>62612</v>
      </c>
      <c r="G120" s="2">
        <v>5732</v>
      </c>
      <c r="H120" s="2">
        <v>269177</v>
      </c>
      <c r="I120" s="2">
        <v>7480</v>
      </c>
      <c r="J120" s="10" t="s">
        <v>47</v>
      </c>
      <c r="K120" s="2">
        <v>21331</v>
      </c>
      <c r="L120" s="2">
        <v>481788</v>
      </c>
      <c r="M120" s="2">
        <f>15038+12551</f>
        <v>27589</v>
      </c>
    </row>
    <row r="121" spans="1:13" ht="12.75" x14ac:dyDescent="0.2">
      <c r="A121" s="16" t="s">
        <v>66</v>
      </c>
      <c r="B121" s="2">
        <v>53200</v>
      </c>
      <c r="C121" s="2">
        <v>240</v>
      </c>
      <c r="D121" s="2">
        <f>93611-53440</f>
        <v>40171</v>
      </c>
      <c r="E121" s="2">
        <v>18437</v>
      </c>
      <c r="F121" s="2">
        <v>69765</v>
      </c>
      <c r="G121" s="2">
        <v>5896</v>
      </c>
      <c r="H121" s="2">
        <v>274127</v>
      </c>
      <c r="I121" s="2">
        <v>7945</v>
      </c>
      <c r="J121" s="10" t="s">
        <v>47</v>
      </c>
      <c r="K121" s="2">
        <v>27740</v>
      </c>
      <c r="L121" s="2">
        <v>497521</v>
      </c>
      <c r="M121" s="2">
        <f>22685+15450</f>
        <v>38135</v>
      </c>
    </row>
    <row r="122" spans="1:13" ht="12.75" x14ac:dyDescent="0.2">
      <c r="A122" s="16" t="s">
        <v>67</v>
      </c>
      <c r="B122" s="2">
        <v>42248</v>
      </c>
      <c r="C122" s="2">
        <v>210</v>
      </c>
      <c r="D122" s="2">
        <f>76058-42458</f>
        <v>33600</v>
      </c>
      <c r="E122" s="2">
        <v>13394</v>
      </c>
      <c r="F122" s="2">
        <v>74174</v>
      </c>
      <c r="G122" s="2">
        <v>6488</v>
      </c>
      <c r="H122" s="2">
        <v>275119</v>
      </c>
      <c r="I122" s="2">
        <v>8249</v>
      </c>
      <c r="J122" s="10" t="s">
        <v>47</v>
      </c>
      <c r="K122" s="2">
        <v>33370</v>
      </c>
      <c r="L122" s="2">
        <v>486852</v>
      </c>
      <c r="M122" s="2">
        <f>25054+19779</f>
        <v>44833</v>
      </c>
    </row>
    <row r="123" spans="1:13" ht="12.75" x14ac:dyDescent="0.2">
      <c r="A123" s="16" t="s">
        <v>68</v>
      </c>
      <c r="B123" s="2">
        <v>40300</v>
      </c>
      <c r="C123" s="2">
        <v>132</v>
      </c>
      <c r="D123" s="2">
        <f>1391+2680+29747</f>
        <v>33818</v>
      </c>
      <c r="E123" s="2">
        <v>13368</v>
      </c>
      <c r="F123" s="2">
        <v>68092</v>
      </c>
      <c r="G123" s="2">
        <v>7171</v>
      </c>
      <c r="H123" s="2">
        <v>274675</v>
      </c>
      <c r="I123" s="2">
        <v>8078</v>
      </c>
      <c r="J123" s="10" t="s">
        <v>47</v>
      </c>
      <c r="K123" s="2">
        <v>28355</v>
      </c>
      <c r="L123" s="2">
        <v>473951</v>
      </c>
      <c r="M123" s="2">
        <f>23922+14146</f>
        <v>38068</v>
      </c>
    </row>
    <row r="124" spans="1:13" ht="12.75" x14ac:dyDescent="0.2">
      <c r="A124" s="16" t="s">
        <v>69</v>
      </c>
      <c r="B124" s="2">
        <v>38008</v>
      </c>
      <c r="C124" s="2">
        <v>153</v>
      </c>
      <c r="D124" s="2">
        <f>72189-38161</f>
        <v>34028</v>
      </c>
      <c r="E124" s="2">
        <v>13345</v>
      </c>
      <c r="F124" s="2">
        <v>70792</v>
      </c>
      <c r="G124" s="2">
        <v>7510</v>
      </c>
      <c r="H124" s="2">
        <v>278083</v>
      </c>
      <c r="I124" s="2">
        <v>7553</v>
      </c>
      <c r="J124" s="10" t="s">
        <v>47</v>
      </c>
      <c r="K124" s="2">
        <v>17807</v>
      </c>
      <c r="L124" s="2">
        <v>467279</v>
      </c>
      <c r="M124" s="2">
        <f>25980+5039</f>
        <v>31019</v>
      </c>
    </row>
    <row r="125" spans="1:13" ht="12.75" x14ac:dyDescent="0.2">
      <c r="A125" s="16" t="s">
        <v>72</v>
      </c>
      <c r="B125" s="2">
        <v>33057</v>
      </c>
      <c r="C125" s="2">
        <v>113</v>
      </c>
      <c r="D125" s="2">
        <f>67583-33170</f>
        <v>34413</v>
      </c>
      <c r="E125" s="2">
        <v>13258</v>
      </c>
      <c r="F125" s="2">
        <v>67180</v>
      </c>
      <c r="G125" s="2">
        <v>7215</v>
      </c>
      <c r="H125" s="2">
        <v>278056</v>
      </c>
      <c r="I125" s="2">
        <v>7526</v>
      </c>
      <c r="J125" s="10" t="s">
        <v>47</v>
      </c>
      <c r="K125" s="2">
        <v>17310</v>
      </c>
      <c r="L125" s="2">
        <v>458128</v>
      </c>
      <c r="M125" s="2">
        <f>24657+7180</f>
        <v>31837</v>
      </c>
    </row>
    <row r="126" spans="1:13" ht="12.75" x14ac:dyDescent="0.2">
      <c r="A126" s="16" t="s">
        <v>58</v>
      </c>
      <c r="B126" s="2">
        <v>29407</v>
      </c>
      <c r="C126" s="2">
        <v>81</v>
      </c>
      <c r="D126" s="2">
        <f>65421-29488</f>
        <v>35933</v>
      </c>
      <c r="E126" s="2">
        <v>13356</v>
      </c>
      <c r="F126" s="2">
        <v>66446</v>
      </c>
      <c r="G126" s="2">
        <v>7018</v>
      </c>
      <c r="H126" s="2">
        <v>277149</v>
      </c>
      <c r="I126" s="2">
        <v>7517</v>
      </c>
      <c r="J126" s="10" t="s">
        <v>47</v>
      </c>
      <c r="K126" s="2">
        <v>21344</v>
      </c>
      <c r="L126" s="2">
        <v>458251</v>
      </c>
      <c r="M126" s="2">
        <f>27722+7997</f>
        <v>35719</v>
      </c>
    </row>
    <row r="127" spans="1:13" ht="12.75" x14ac:dyDescent="0.2">
      <c r="A127" s="16" t="s">
        <v>59</v>
      </c>
      <c r="B127" s="2">
        <v>30025</v>
      </c>
      <c r="C127" s="2">
        <v>119</v>
      </c>
      <c r="D127" s="2">
        <f>62655-30144</f>
        <v>32511</v>
      </c>
      <c r="E127" s="2">
        <v>12992</v>
      </c>
      <c r="F127" s="2">
        <v>76577</v>
      </c>
      <c r="G127" s="2">
        <v>6930</v>
      </c>
      <c r="H127" s="2">
        <v>275893</v>
      </c>
      <c r="I127" s="2">
        <v>7530</v>
      </c>
      <c r="J127" s="10" t="s">
        <v>47</v>
      </c>
      <c r="K127" s="2">
        <v>21123</v>
      </c>
      <c r="L127" s="2">
        <v>463700</v>
      </c>
      <c r="M127" s="2">
        <f>29956+9033</f>
        <v>38989</v>
      </c>
    </row>
    <row r="128" spans="1:13" ht="12.75" x14ac:dyDescent="0.2">
      <c r="A128" s="16" t="s">
        <v>60</v>
      </c>
      <c r="B128" s="2">
        <v>29350</v>
      </c>
      <c r="C128" s="2">
        <v>78</v>
      </c>
      <c r="D128" s="2">
        <f>61423-29428</f>
        <v>31995</v>
      </c>
      <c r="E128" s="2">
        <v>12813</v>
      </c>
      <c r="F128" s="2">
        <v>74788</v>
      </c>
      <c r="G128" s="2">
        <v>7499</v>
      </c>
      <c r="H128" s="2">
        <v>273672</v>
      </c>
      <c r="I128" s="2">
        <v>7089</v>
      </c>
      <c r="J128" s="10" t="s">
        <v>47</v>
      </c>
      <c r="K128" s="2">
        <v>22013</v>
      </c>
      <c r="L128" s="2">
        <v>459297</v>
      </c>
      <c r="M128" s="2">
        <f>29277+10503</f>
        <v>39780</v>
      </c>
    </row>
    <row r="129" spans="1:13" ht="12.75" x14ac:dyDescent="0.2">
      <c r="A129" s="8" t="s">
        <v>28</v>
      </c>
      <c r="B129" s="2"/>
      <c r="C129" s="2"/>
      <c r="D129" s="2"/>
      <c r="E129" s="2"/>
      <c r="F129" s="2"/>
      <c r="G129" s="2"/>
      <c r="H129" s="2"/>
      <c r="I129" s="2"/>
      <c r="J129" s="10"/>
      <c r="K129" s="2"/>
      <c r="L129" s="2"/>
      <c r="M129" s="2"/>
    </row>
    <row r="130" spans="1:13" ht="12.75" x14ac:dyDescent="0.2">
      <c r="A130" s="16" t="s">
        <v>62</v>
      </c>
      <c r="B130" s="2">
        <v>29854</v>
      </c>
      <c r="C130" s="2">
        <v>156</v>
      </c>
      <c r="D130" s="2">
        <v>32782</v>
      </c>
      <c r="E130" s="2">
        <v>14015</v>
      </c>
      <c r="F130" s="2">
        <v>75641</v>
      </c>
      <c r="G130" s="2">
        <v>7235</v>
      </c>
      <c r="H130" s="2">
        <v>278749</v>
      </c>
      <c r="I130" s="2">
        <v>7355</v>
      </c>
      <c r="J130" s="10" t="s">
        <v>47</v>
      </c>
      <c r="K130" s="2">
        <v>23392</v>
      </c>
      <c r="L130" s="2">
        <v>469179</v>
      </c>
      <c r="M130" s="2">
        <v>41356</v>
      </c>
    </row>
    <row r="131" spans="1:13" ht="12.75" x14ac:dyDescent="0.2">
      <c r="A131" s="16" t="s">
        <v>63</v>
      </c>
      <c r="B131" s="2">
        <v>30296</v>
      </c>
      <c r="C131" s="2">
        <v>179</v>
      </c>
      <c r="D131" s="2">
        <v>31333</v>
      </c>
      <c r="E131" s="2">
        <v>14257</v>
      </c>
      <c r="F131" s="2">
        <v>78479</v>
      </c>
      <c r="G131" s="2">
        <v>8505</v>
      </c>
      <c r="H131" s="2">
        <v>280685</v>
      </c>
      <c r="I131" s="2">
        <v>7333</v>
      </c>
      <c r="J131" s="10" t="s">
        <v>47</v>
      </c>
      <c r="K131" s="2">
        <v>25383</v>
      </c>
      <c r="L131" s="2">
        <v>476450</v>
      </c>
      <c r="M131" s="2">
        <v>42033</v>
      </c>
    </row>
    <row r="132" spans="1:13" ht="12.75" x14ac:dyDescent="0.2">
      <c r="A132" s="16" t="s">
        <v>64</v>
      </c>
      <c r="B132" s="2">
        <v>30866</v>
      </c>
      <c r="C132" s="2">
        <v>113</v>
      </c>
      <c r="D132" s="2">
        <v>32011</v>
      </c>
      <c r="E132" s="2">
        <v>15535</v>
      </c>
      <c r="F132" s="2">
        <v>84141</v>
      </c>
      <c r="G132" s="2">
        <v>8564</v>
      </c>
      <c r="H132" s="2">
        <v>284656</v>
      </c>
      <c r="I132" s="2">
        <v>7040</v>
      </c>
      <c r="J132" s="10" t="s">
        <v>47</v>
      </c>
      <c r="K132" s="2">
        <v>25567</v>
      </c>
      <c r="L132" s="2">
        <v>488493</v>
      </c>
      <c r="M132" s="2">
        <v>42925</v>
      </c>
    </row>
    <row r="133" spans="1:13" ht="12.75" x14ac:dyDescent="0.2">
      <c r="A133" s="16" t="s">
        <v>65</v>
      </c>
      <c r="B133" s="2">
        <v>30821</v>
      </c>
      <c r="C133" s="2">
        <v>270</v>
      </c>
      <c r="D133" s="2">
        <v>30206</v>
      </c>
      <c r="E133" s="2">
        <v>15085</v>
      </c>
      <c r="F133" s="2">
        <v>89791</v>
      </c>
      <c r="G133" s="2">
        <v>8284</v>
      </c>
      <c r="H133" s="2">
        <v>289305</v>
      </c>
      <c r="I133" s="2">
        <v>7443</v>
      </c>
      <c r="J133" s="10" t="s">
        <v>47</v>
      </c>
      <c r="K133" s="2">
        <v>30288</v>
      </c>
      <c r="L133" s="2">
        <v>501492</v>
      </c>
      <c r="M133" s="2">
        <v>44877</v>
      </c>
    </row>
    <row r="134" spans="1:13" ht="12.75" x14ac:dyDescent="0.2">
      <c r="A134" s="16" t="s">
        <v>66</v>
      </c>
      <c r="B134" s="2">
        <v>29124</v>
      </c>
      <c r="C134" s="2">
        <v>201</v>
      </c>
      <c r="D134" s="2">
        <v>29955</v>
      </c>
      <c r="E134" s="2">
        <v>14923</v>
      </c>
      <c r="F134" s="2">
        <v>88407</v>
      </c>
      <c r="G134" s="2">
        <v>8615</v>
      </c>
      <c r="H134" s="2">
        <v>288975</v>
      </c>
      <c r="I134" s="2">
        <v>7238</v>
      </c>
      <c r="J134" s="10" t="s">
        <v>47</v>
      </c>
      <c r="K134" s="2">
        <v>27983</v>
      </c>
      <c r="L134" s="2">
        <v>495421</v>
      </c>
      <c r="M134" s="2">
        <v>41392</v>
      </c>
    </row>
    <row r="135" spans="1:13" ht="12.75" x14ac:dyDescent="0.2">
      <c r="A135" s="16" t="s">
        <v>67</v>
      </c>
      <c r="B135" s="2">
        <v>27028</v>
      </c>
      <c r="C135" s="2">
        <v>234</v>
      </c>
      <c r="D135" s="2">
        <v>30446</v>
      </c>
      <c r="E135" s="2">
        <v>14254</v>
      </c>
      <c r="F135" s="2">
        <v>96555</v>
      </c>
      <c r="G135" s="2">
        <v>8674</v>
      </c>
      <c r="H135" s="2">
        <v>286033</v>
      </c>
      <c r="I135" s="2">
        <v>7513</v>
      </c>
      <c r="J135" s="10" t="s">
        <v>47</v>
      </c>
      <c r="K135" s="2">
        <v>30289</v>
      </c>
      <c r="L135" s="2">
        <v>501026</v>
      </c>
      <c r="M135" s="2">
        <v>44071</v>
      </c>
    </row>
    <row r="136" spans="1:13" ht="12.75" x14ac:dyDescent="0.2">
      <c r="A136" s="16" t="s">
        <v>68</v>
      </c>
      <c r="B136" s="2">
        <v>25432</v>
      </c>
      <c r="C136" s="2">
        <v>197</v>
      </c>
      <c r="D136" s="2">
        <v>29856</v>
      </c>
      <c r="E136" s="2">
        <v>14587</v>
      </c>
      <c r="F136" s="2">
        <v>87072</v>
      </c>
      <c r="G136" s="2">
        <v>8962</v>
      </c>
      <c r="H136" s="2">
        <v>294093</v>
      </c>
      <c r="I136" s="2">
        <v>7745</v>
      </c>
      <c r="J136" s="10" t="s">
        <v>47</v>
      </c>
      <c r="K136" s="2">
        <v>35579</v>
      </c>
      <c r="L136" s="2">
        <v>503523</v>
      </c>
      <c r="M136" s="2">
        <v>47582</v>
      </c>
    </row>
    <row r="137" spans="1:13" ht="12.75" x14ac:dyDescent="0.2">
      <c r="A137" s="16" t="s">
        <v>69</v>
      </c>
      <c r="B137" s="2">
        <v>25690</v>
      </c>
      <c r="C137" s="2">
        <v>99</v>
      </c>
      <c r="D137" s="2">
        <v>29945</v>
      </c>
      <c r="E137" s="2">
        <v>16955</v>
      </c>
      <c r="F137" s="2">
        <v>80547</v>
      </c>
      <c r="G137" s="2">
        <v>8782</v>
      </c>
      <c r="H137" s="2">
        <v>290805</v>
      </c>
      <c r="I137" s="2">
        <v>6986</v>
      </c>
      <c r="J137" s="10" t="s">
        <v>47</v>
      </c>
      <c r="K137" s="2">
        <v>33169</v>
      </c>
      <c r="L137" s="2">
        <v>492978</v>
      </c>
      <c r="M137" s="2">
        <v>46959</v>
      </c>
    </row>
    <row r="138" spans="1:13" ht="12.75" x14ac:dyDescent="0.2">
      <c r="A138" s="16" t="s">
        <v>72</v>
      </c>
      <c r="B138" s="2">
        <v>24451</v>
      </c>
      <c r="C138" s="2">
        <v>87</v>
      </c>
      <c r="D138" s="2">
        <v>31158</v>
      </c>
      <c r="E138" s="2">
        <v>16657</v>
      </c>
      <c r="F138" s="2">
        <v>79724</v>
      </c>
      <c r="G138" s="2">
        <v>9158</v>
      </c>
      <c r="H138" s="2">
        <v>289945</v>
      </c>
      <c r="I138" s="2">
        <v>7247</v>
      </c>
      <c r="J138" s="10" t="s">
        <v>47</v>
      </c>
      <c r="K138" s="2">
        <v>33461</v>
      </c>
      <c r="L138" s="2">
        <v>491888</v>
      </c>
      <c r="M138" s="2">
        <v>45873</v>
      </c>
    </row>
    <row r="139" spans="1:13" ht="12.75" x14ac:dyDescent="0.2">
      <c r="A139" s="16" t="s">
        <v>58</v>
      </c>
      <c r="B139" s="2">
        <v>24130</v>
      </c>
      <c r="C139" s="2">
        <v>93</v>
      </c>
      <c r="D139" s="2">
        <v>29199</v>
      </c>
      <c r="E139" s="2">
        <v>12979</v>
      </c>
      <c r="F139" s="2">
        <v>79926</v>
      </c>
      <c r="G139" s="2">
        <v>9394</v>
      </c>
      <c r="H139" s="2">
        <v>292543</v>
      </c>
      <c r="I139" s="2">
        <v>6792</v>
      </c>
      <c r="J139" s="10" t="s">
        <v>47</v>
      </c>
      <c r="K139" s="2">
        <v>35688</v>
      </c>
      <c r="L139" s="2">
        <v>490744</v>
      </c>
      <c r="M139" s="2">
        <v>47062</v>
      </c>
    </row>
    <row r="140" spans="1:13" ht="12.75" x14ac:dyDescent="0.2">
      <c r="A140" s="16" t="s">
        <v>59</v>
      </c>
      <c r="B140" s="2">
        <v>24246</v>
      </c>
      <c r="C140" s="2">
        <v>117</v>
      </c>
      <c r="D140" s="2">
        <v>29182</v>
      </c>
      <c r="E140" s="2">
        <v>14339</v>
      </c>
      <c r="F140" s="2">
        <v>82446</v>
      </c>
      <c r="G140" s="2">
        <v>9910</v>
      </c>
      <c r="H140" s="2">
        <v>294825</v>
      </c>
      <c r="I140" s="2">
        <v>6902</v>
      </c>
      <c r="J140" s="10" t="s">
        <v>47</v>
      </c>
      <c r="K140" s="2">
        <v>32917</v>
      </c>
      <c r="L140" s="2">
        <v>494884</v>
      </c>
      <c r="M140" s="2">
        <v>45327</v>
      </c>
    </row>
    <row r="141" spans="1:13" ht="12.75" x14ac:dyDescent="0.2">
      <c r="A141" s="16" t="s">
        <v>60</v>
      </c>
      <c r="B141" s="2">
        <v>22644</v>
      </c>
      <c r="C141" s="2">
        <v>96</v>
      </c>
      <c r="D141" s="2">
        <v>28996</v>
      </c>
      <c r="E141" s="2">
        <v>12662</v>
      </c>
      <c r="F141" s="2">
        <v>85457</v>
      </c>
      <c r="G141" s="2">
        <v>10344</v>
      </c>
      <c r="H141" s="2">
        <v>293359</v>
      </c>
      <c r="I141" s="2">
        <v>6027</v>
      </c>
      <c r="J141" s="10" t="s">
        <v>47</v>
      </c>
      <c r="K141" s="2">
        <v>35874</v>
      </c>
      <c r="L141" s="2">
        <v>495459</v>
      </c>
      <c r="M141" s="2">
        <v>48424</v>
      </c>
    </row>
    <row r="142" spans="1:13" ht="12.75" x14ac:dyDescent="0.2">
      <c r="A142" s="8" t="s">
        <v>29</v>
      </c>
      <c r="B142" s="2"/>
      <c r="C142" s="2"/>
      <c r="D142" s="2"/>
      <c r="E142" s="2"/>
      <c r="F142" s="2"/>
      <c r="G142" s="2"/>
      <c r="H142" s="2"/>
      <c r="I142" s="2"/>
      <c r="J142" s="9"/>
      <c r="K142" s="2"/>
      <c r="L142" s="2"/>
      <c r="M142" s="2"/>
    </row>
    <row r="143" spans="1:13" ht="12.75" x14ac:dyDescent="0.2">
      <c r="A143" s="16" t="s">
        <v>62</v>
      </c>
      <c r="B143" s="2">
        <v>4851</v>
      </c>
      <c r="C143" s="2">
        <v>162</v>
      </c>
      <c r="D143" s="2">
        <v>30953</v>
      </c>
      <c r="E143" s="2">
        <v>13052</v>
      </c>
      <c r="F143" s="2">
        <v>83460</v>
      </c>
      <c r="G143" s="2">
        <v>10689</v>
      </c>
      <c r="H143" s="2">
        <v>288037</v>
      </c>
      <c r="I143" s="2">
        <v>6873</v>
      </c>
      <c r="J143" s="10" t="s">
        <v>47</v>
      </c>
      <c r="K143" s="2">
        <v>41884</v>
      </c>
      <c r="L143" s="2">
        <v>479961</v>
      </c>
      <c r="M143" s="2">
        <v>53114</v>
      </c>
    </row>
    <row r="144" spans="1:13" ht="12.75" x14ac:dyDescent="0.2">
      <c r="A144" s="16" t="s">
        <v>63</v>
      </c>
      <c r="B144" s="2">
        <v>4342</v>
      </c>
      <c r="C144" s="2">
        <v>166</v>
      </c>
      <c r="D144" s="2">
        <v>29798</v>
      </c>
      <c r="E144" s="2">
        <v>13277</v>
      </c>
      <c r="F144" s="2">
        <v>83022</v>
      </c>
      <c r="G144" s="2">
        <v>12051</v>
      </c>
      <c r="H144" s="2">
        <v>294877</v>
      </c>
      <c r="I144" s="2">
        <v>6783</v>
      </c>
      <c r="J144" s="10" t="s">
        <v>47</v>
      </c>
      <c r="K144" s="2">
        <v>52668</v>
      </c>
      <c r="L144" s="2">
        <v>496984</v>
      </c>
      <c r="M144" s="2">
        <v>65376</v>
      </c>
    </row>
    <row r="145" spans="1:13" ht="12.75" x14ac:dyDescent="0.2">
      <c r="A145" s="16" t="s">
        <v>64</v>
      </c>
      <c r="B145" s="2">
        <v>3155</v>
      </c>
      <c r="C145" s="2">
        <v>195</v>
      </c>
      <c r="D145" s="2">
        <v>24069</v>
      </c>
      <c r="E145" s="2">
        <v>13475</v>
      </c>
      <c r="F145" s="2">
        <v>91204</v>
      </c>
      <c r="G145" s="2">
        <v>12373</v>
      </c>
      <c r="H145" s="2">
        <v>305017</v>
      </c>
      <c r="I145" s="2">
        <v>6836</v>
      </c>
      <c r="J145" s="10" t="s">
        <v>47</v>
      </c>
      <c r="K145" s="2">
        <v>49996</v>
      </c>
      <c r="L145" s="2">
        <v>506320</v>
      </c>
      <c r="M145" s="2">
        <v>61946</v>
      </c>
    </row>
    <row r="146" spans="1:13" ht="12.75" x14ac:dyDescent="0.2">
      <c r="A146" s="16" t="s">
        <v>65</v>
      </c>
      <c r="B146" s="2">
        <v>3811</v>
      </c>
      <c r="C146" s="2">
        <v>225</v>
      </c>
      <c r="D146" s="2">
        <v>24895</v>
      </c>
      <c r="E146" s="2">
        <v>14508</v>
      </c>
      <c r="F146" s="2">
        <v>86274</v>
      </c>
      <c r="G146" s="2">
        <v>12033</v>
      </c>
      <c r="H146" s="2">
        <v>313779</v>
      </c>
      <c r="I146" s="2">
        <v>7645</v>
      </c>
      <c r="J146" s="10" t="s">
        <v>47</v>
      </c>
      <c r="K146" s="2">
        <v>50694</v>
      </c>
      <c r="L146" s="2">
        <v>513864</v>
      </c>
      <c r="M146" s="2">
        <v>61566</v>
      </c>
    </row>
    <row r="147" spans="1:13" ht="12.75" x14ac:dyDescent="0.2">
      <c r="A147" s="16" t="s">
        <v>66</v>
      </c>
      <c r="B147" s="2">
        <v>3765</v>
      </c>
      <c r="C147" s="2">
        <v>321</v>
      </c>
      <c r="D147" s="2">
        <v>26335</v>
      </c>
      <c r="E147" s="2">
        <v>14127</v>
      </c>
      <c r="F147" s="2">
        <v>91183</v>
      </c>
      <c r="G147" s="2">
        <v>12966</v>
      </c>
      <c r="H147" s="2">
        <v>314769</v>
      </c>
      <c r="I147" s="2">
        <v>7219</v>
      </c>
      <c r="J147" s="10" t="s">
        <v>47</v>
      </c>
      <c r="K147" s="2">
        <v>49188</v>
      </c>
      <c r="L147" s="2">
        <v>519873</v>
      </c>
      <c r="M147" s="2">
        <v>61338</v>
      </c>
    </row>
    <row r="148" spans="1:13" ht="12.75" x14ac:dyDescent="0.2">
      <c r="A148" s="16" t="s">
        <v>67</v>
      </c>
      <c r="B148" s="2">
        <v>4669</v>
      </c>
      <c r="C148" s="2">
        <v>272</v>
      </c>
      <c r="D148" s="2">
        <v>26724</v>
      </c>
      <c r="E148" s="2">
        <v>14089</v>
      </c>
      <c r="F148" s="2">
        <v>95232</v>
      </c>
      <c r="G148" s="2">
        <v>12568</v>
      </c>
      <c r="H148" s="2">
        <v>319659</v>
      </c>
      <c r="I148" s="2">
        <v>7829</v>
      </c>
      <c r="J148" s="10" t="s">
        <v>47</v>
      </c>
      <c r="K148" s="2">
        <v>51833</v>
      </c>
      <c r="L148" s="2">
        <v>532875</v>
      </c>
      <c r="M148" s="2">
        <v>61104</v>
      </c>
    </row>
    <row r="149" spans="1:13" ht="12.75" x14ac:dyDescent="0.2">
      <c r="A149" s="16" t="s">
        <v>68</v>
      </c>
      <c r="B149" s="2">
        <v>4835</v>
      </c>
      <c r="C149" s="2">
        <v>208</v>
      </c>
      <c r="D149" s="2">
        <v>29745</v>
      </c>
      <c r="E149" s="2">
        <v>14735</v>
      </c>
      <c r="F149" s="2">
        <v>92540</v>
      </c>
      <c r="G149" s="2">
        <v>12760</v>
      </c>
      <c r="H149" s="2">
        <v>322000</v>
      </c>
      <c r="I149" s="2">
        <v>7472</v>
      </c>
      <c r="J149" s="10" t="s">
        <v>47</v>
      </c>
      <c r="K149" s="2">
        <v>52047</v>
      </c>
      <c r="L149" s="2">
        <v>536342</v>
      </c>
      <c r="M149" s="2">
        <v>59419</v>
      </c>
    </row>
    <row r="150" spans="1:13" ht="12.75" x14ac:dyDescent="0.2">
      <c r="A150" s="16" t="s">
        <v>69</v>
      </c>
      <c r="B150" s="2">
        <v>4789</v>
      </c>
      <c r="C150" s="2">
        <v>338</v>
      </c>
      <c r="D150" s="2">
        <v>29519</v>
      </c>
      <c r="E150" s="2">
        <v>14890</v>
      </c>
      <c r="F150" s="2">
        <v>94084</v>
      </c>
      <c r="G150" s="2">
        <v>12145</v>
      </c>
      <c r="H150" s="2">
        <v>325972</v>
      </c>
      <c r="I150" s="2">
        <v>7080</v>
      </c>
      <c r="J150" s="10" t="s">
        <v>47</v>
      </c>
      <c r="K150" s="2">
        <v>54128</v>
      </c>
      <c r="L150" s="2">
        <v>542945</v>
      </c>
      <c r="M150" s="2">
        <v>63060</v>
      </c>
    </row>
    <row r="151" spans="1:13" ht="12.75" x14ac:dyDescent="0.2">
      <c r="A151" s="16" t="s">
        <v>72</v>
      </c>
      <c r="B151" s="2">
        <v>4163</v>
      </c>
      <c r="C151" s="2">
        <v>196</v>
      </c>
      <c r="D151" s="2">
        <v>28245</v>
      </c>
      <c r="E151" s="2">
        <v>14890</v>
      </c>
      <c r="F151" s="2">
        <v>96702</v>
      </c>
      <c r="G151" s="2">
        <v>11637</v>
      </c>
      <c r="H151" s="2">
        <v>327757</v>
      </c>
      <c r="I151" s="2">
        <v>7289</v>
      </c>
      <c r="J151" s="10" t="s">
        <v>47</v>
      </c>
      <c r="K151" s="2">
        <v>55343</v>
      </c>
      <c r="L151" s="2">
        <v>546222</v>
      </c>
      <c r="M151" s="2">
        <v>63182</v>
      </c>
    </row>
    <row r="152" spans="1:13" ht="12.75" x14ac:dyDescent="0.2">
      <c r="A152" s="16" t="s">
        <v>58</v>
      </c>
      <c r="B152" s="2">
        <v>4393</v>
      </c>
      <c r="C152" s="2">
        <v>466</v>
      </c>
      <c r="D152" s="2">
        <v>30997</v>
      </c>
      <c r="E152" s="2">
        <v>14440</v>
      </c>
      <c r="F152" s="2">
        <v>99713</v>
      </c>
      <c r="G152" s="2">
        <v>11291</v>
      </c>
      <c r="H152" s="2">
        <v>335314</v>
      </c>
      <c r="I152" s="2">
        <v>7280</v>
      </c>
      <c r="J152" s="10" t="s">
        <v>47</v>
      </c>
      <c r="K152" s="2">
        <v>54142</v>
      </c>
      <c r="L152" s="2">
        <v>558036</v>
      </c>
      <c r="M152" s="2">
        <v>62674</v>
      </c>
    </row>
    <row r="153" spans="1:13" ht="12.75" x14ac:dyDescent="0.2">
      <c r="A153" s="16" t="s">
        <v>59</v>
      </c>
      <c r="B153" s="2">
        <v>4602</v>
      </c>
      <c r="C153" s="2">
        <v>398</v>
      </c>
      <c r="D153" s="2">
        <v>31019</v>
      </c>
      <c r="E153" s="2">
        <v>14580</v>
      </c>
      <c r="F153" s="2">
        <v>97120</v>
      </c>
      <c r="G153" s="2">
        <v>13179</v>
      </c>
      <c r="H153" s="2">
        <v>340147</v>
      </c>
      <c r="I153" s="2">
        <v>7144</v>
      </c>
      <c r="J153" s="10" t="s">
        <v>47</v>
      </c>
      <c r="K153" s="2">
        <v>55494</v>
      </c>
      <c r="L153" s="2">
        <v>563683</v>
      </c>
      <c r="M153" s="2">
        <v>64833</v>
      </c>
    </row>
    <row r="154" spans="1:13" ht="12.75" x14ac:dyDescent="0.2">
      <c r="A154" s="16" t="s">
        <v>60</v>
      </c>
      <c r="B154" s="2">
        <v>3923</v>
      </c>
      <c r="C154" s="2">
        <v>384</v>
      </c>
      <c r="D154" s="2">
        <v>31248</v>
      </c>
      <c r="E154" s="2">
        <v>14774</v>
      </c>
      <c r="F154" s="2">
        <v>101357</v>
      </c>
      <c r="G154" s="2">
        <v>12909</v>
      </c>
      <c r="H154" s="2">
        <v>343161</v>
      </c>
      <c r="I154" s="2">
        <v>7613</v>
      </c>
      <c r="J154" s="10" t="s">
        <v>47</v>
      </c>
      <c r="K154" s="2">
        <v>57011</v>
      </c>
      <c r="L154" s="2">
        <v>572380</v>
      </c>
      <c r="M154" s="2">
        <v>66625</v>
      </c>
    </row>
    <row r="155" spans="1:13" ht="15" customHeight="1" x14ac:dyDescent="0.2">
      <c r="A155" s="8" t="s">
        <v>30</v>
      </c>
      <c r="B155" s="2"/>
      <c r="C155" s="2"/>
      <c r="D155" s="2"/>
      <c r="E155" s="2"/>
      <c r="F155" s="2"/>
      <c r="G155" s="2"/>
      <c r="H155" s="2"/>
      <c r="I155" s="2"/>
      <c r="J155" s="9"/>
      <c r="K155" s="2"/>
      <c r="L155" s="2"/>
      <c r="M155" s="2"/>
    </row>
    <row r="156" spans="1:13" ht="12.75" x14ac:dyDescent="0.2">
      <c r="A156" s="16" t="s">
        <v>62</v>
      </c>
      <c r="B156" s="2">
        <v>4433</v>
      </c>
      <c r="C156" s="2">
        <v>623</v>
      </c>
      <c r="D156" s="2">
        <v>33177</v>
      </c>
      <c r="E156" s="2">
        <v>15042</v>
      </c>
      <c r="F156" s="2">
        <v>97004</v>
      </c>
      <c r="G156" s="2">
        <v>12631</v>
      </c>
      <c r="H156" s="2">
        <v>343763</v>
      </c>
      <c r="I156" s="2">
        <v>7359</v>
      </c>
      <c r="J156" s="10" t="s">
        <v>47</v>
      </c>
      <c r="K156" s="2">
        <v>59114</v>
      </c>
      <c r="L156" s="2">
        <v>573146</v>
      </c>
      <c r="M156" s="2">
        <v>65796</v>
      </c>
    </row>
    <row r="157" spans="1:13" ht="12.75" x14ac:dyDescent="0.2">
      <c r="A157" s="16" t="s">
        <v>63</v>
      </c>
      <c r="B157" s="2">
        <v>4266</v>
      </c>
      <c r="C157" s="2">
        <v>638</v>
      </c>
      <c r="D157" s="2">
        <v>34941</v>
      </c>
      <c r="E157" s="2">
        <v>14913</v>
      </c>
      <c r="F157" s="2">
        <v>99284</v>
      </c>
      <c r="G157" s="2">
        <v>12637</v>
      </c>
      <c r="H157" s="2">
        <v>351285</v>
      </c>
      <c r="I157" s="2">
        <v>7298</v>
      </c>
      <c r="J157" s="10" t="s">
        <v>47</v>
      </c>
      <c r="K157" s="2">
        <v>61356</v>
      </c>
      <c r="L157" s="2">
        <v>586618</v>
      </c>
      <c r="M157" s="2">
        <v>64834</v>
      </c>
    </row>
    <row r="158" spans="1:13" ht="12.75" x14ac:dyDescent="0.2">
      <c r="A158" s="16" t="s">
        <v>64</v>
      </c>
      <c r="B158" s="2">
        <v>2896</v>
      </c>
      <c r="C158" s="2">
        <v>459</v>
      </c>
      <c r="D158" s="2">
        <v>37195</v>
      </c>
      <c r="E158" s="2">
        <v>15453</v>
      </c>
      <c r="F158" s="2">
        <v>104026</v>
      </c>
      <c r="G158" s="2">
        <v>12692</v>
      </c>
      <c r="H158" s="2">
        <v>360226</v>
      </c>
      <c r="I158" s="2">
        <v>7428</v>
      </c>
      <c r="J158" s="10" t="s">
        <v>47</v>
      </c>
      <c r="K158" s="2">
        <v>66687</v>
      </c>
      <c r="L158" s="2">
        <v>607062</v>
      </c>
      <c r="M158" s="2">
        <v>69523</v>
      </c>
    </row>
    <row r="159" spans="1:13" ht="12.75" x14ac:dyDescent="0.2">
      <c r="A159" s="16" t="s">
        <v>65</v>
      </c>
      <c r="B159" s="2">
        <v>2841</v>
      </c>
      <c r="C159" s="2">
        <v>391</v>
      </c>
      <c r="D159" s="2">
        <v>37364</v>
      </c>
      <c r="E159" s="2">
        <v>15770</v>
      </c>
      <c r="F159" s="2">
        <v>106005</v>
      </c>
      <c r="G159" s="2">
        <v>14247</v>
      </c>
      <c r="H159" s="2">
        <v>360811</v>
      </c>
      <c r="I159" s="2">
        <v>7647</v>
      </c>
      <c r="J159" s="10" t="s">
        <v>47</v>
      </c>
      <c r="K159" s="2">
        <v>66215</v>
      </c>
      <c r="L159" s="2">
        <v>611291</v>
      </c>
      <c r="M159" s="2">
        <v>71877</v>
      </c>
    </row>
    <row r="160" spans="1:13" ht="12.75" x14ac:dyDescent="0.2">
      <c r="A160" s="16" t="s">
        <v>66</v>
      </c>
      <c r="B160" s="2">
        <v>3211</v>
      </c>
      <c r="C160" s="2">
        <v>439</v>
      </c>
      <c r="D160" s="2">
        <v>36823</v>
      </c>
      <c r="E160" s="2">
        <v>16805</v>
      </c>
      <c r="F160" s="2">
        <v>107215</v>
      </c>
      <c r="G160" s="2">
        <v>10149</v>
      </c>
      <c r="H160" s="2">
        <v>359463</v>
      </c>
      <c r="I160" s="2">
        <v>7961</v>
      </c>
      <c r="J160" s="10" t="s">
        <v>47</v>
      </c>
      <c r="K160" s="2">
        <v>67892</v>
      </c>
      <c r="L160" s="2">
        <v>609958</v>
      </c>
      <c r="M160" s="2">
        <v>73761</v>
      </c>
    </row>
    <row r="161" spans="1:13" ht="12.75" x14ac:dyDescent="0.2">
      <c r="A161" s="16" t="s">
        <v>67</v>
      </c>
      <c r="B161" s="2">
        <v>3260</v>
      </c>
      <c r="C161" s="2">
        <v>472</v>
      </c>
      <c r="D161" s="2">
        <v>40224</v>
      </c>
      <c r="E161" s="2">
        <v>16838</v>
      </c>
      <c r="F161" s="2">
        <v>106711</v>
      </c>
      <c r="G161" s="2">
        <v>9433</v>
      </c>
      <c r="H161" s="2">
        <v>357763</v>
      </c>
      <c r="I161" s="2">
        <v>7972</v>
      </c>
      <c r="J161" s="10" t="s">
        <v>47</v>
      </c>
      <c r="K161" s="2">
        <v>71447</v>
      </c>
      <c r="L161" s="2">
        <v>614120</v>
      </c>
      <c r="M161" s="2">
        <v>75745</v>
      </c>
    </row>
    <row r="162" spans="1:13" ht="12.75" x14ac:dyDescent="0.2">
      <c r="A162" s="16" t="s">
        <v>68</v>
      </c>
      <c r="B162" s="2">
        <v>4184</v>
      </c>
      <c r="C162" s="2">
        <v>350</v>
      </c>
      <c r="D162" s="2">
        <v>37166</v>
      </c>
      <c r="E162" s="2">
        <v>17654</v>
      </c>
      <c r="F162" s="2">
        <v>110126</v>
      </c>
      <c r="G162" s="2">
        <v>10818</v>
      </c>
      <c r="H162" s="2">
        <v>353576</v>
      </c>
      <c r="I162" s="2">
        <v>7396</v>
      </c>
      <c r="J162" s="10" t="s">
        <v>47</v>
      </c>
      <c r="K162" s="2">
        <v>59090</v>
      </c>
      <c r="L162" s="2">
        <v>600360</v>
      </c>
      <c r="M162" s="2">
        <v>64566</v>
      </c>
    </row>
    <row r="163" spans="1:13" ht="12.75" x14ac:dyDescent="0.2">
      <c r="A163" s="16" t="s">
        <v>69</v>
      </c>
      <c r="B163" s="2">
        <v>3336</v>
      </c>
      <c r="C163" s="2">
        <v>347</v>
      </c>
      <c r="D163" s="2">
        <v>40367</v>
      </c>
      <c r="E163" s="2">
        <v>19030</v>
      </c>
      <c r="F163" s="2">
        <v>111608</v>
      </c>
      <c r="G163" s="2">
        <v>10449</v>
      </c>
      <c r="H163" s="2">
        <v>358046</v>
      </c>
      <c r="I163" s="2">
        <v>7704</v>
      </c>
      <c r="J163" s="10" t="s">
        <v>47</v>
      </c>
      <c r="K163" s="2">
        <v>67287</v>
      </c>
      <c r="L163" s="2">
        <v>618174</v>
      </c>
      <c r="M163" s="2">
        <v>70685</v>
      </c>
    </row>
    <row r="164" spans="1:13" ht="12.75" x14ac:dyDescent="0.2">
      <c r="A164" s="16" t="s">
        <v>72</v>
      </c>
      <c r="B164" s="2">
        <v>4081</v>
      </c>
      <c r="C164" s="2">
        <v>335</v>
      </c>
      <c r="D164" s="2">
        <v>41666</v>
      </c>
      <c r="E164" s="2">
        <v>17591</v>
      </c>
      <c r="F164" s="2">
        <v>107504</v>
      </c>
      <c r="G164" s="2">
        <v>11013</v>
      </c>
      <c r="H164" s="2">
        <v>358075</v>
      </c>
      <c r="I164" s="2">
        <v>7714</v>
      </c>
      <c r="J164" s="10" t="s">
        <v>47</v>
      </c>
      <c r="K164" s="2">
        <v>65715</v>
      </c>
      <c r="L164" s="2">
        <v>613694</v>
      </c>
      <c r="M164" s="2">
        <v>68377</v>
      </c>
    </row>
    <row r="165" spans="1:13" ht="12.75" x14ac:dyDescent="0.2">
      <c r="A165" s="16" t="s">
        <v>58</v>
      </c>
      <c r="B165" s="2">
        <v>3966</v>
      </c>
      <c r="C165" s="2">
        <v>363</v>
      </c>
      <c r="D165" s="2">
        <v>41769</v>
      </c>
      <c r="E165" s="2">
        <v>17011</v>
      </c>
      <c r="F165" s="2">
        <v>99703</v>
      </c>
      <c r="G165" s="2">
        <v>10113</v>
      </c>
      <c r="H165" s="2">
        <v>358775</v>
      </c>
      <c r="I165" s="2">
        <v>7419</v>
      </c>
      <c r="J165" s="10" t="s">
        <v>47</v>
      </c>
      <c r="K165" s="2">
        <v>65147</v>
      </c>
      <c r="L165" s="2">
        <v>604266</v>
      </c>
      <c r="M165" s="2">
        <v>64529</v>
      </c>
    </row>
    <row r="166" spans="1:13" ht="12.75" x14ac:dyDescent="0.2">
      <c r="A166" s="16" t="s">
        <v>59</v>
      </c>
      <c r="B166" s="2">
        <v>3330</v>
      </c>
      <c r="C166" s="2">
        <v>479</v>
      </c>
      <c r="D166" s="2">
        <v>36908</v>
      </c>
      <c r="E166" s="2">
        <v>17694</v>
      </c>
      <c r="F166" s="2">
        <v>104911</v>
      </c>
      <c r="G166" s="2">
        <v>10918</v>
      </c>
      <c r="H166" s="2">
        <v>364100</v>
      </c>
      <c r="I166" s="2">
        <v>7958</v>
      </c>
      <c r="J166" s="10" t="s">
        <v>47</v>
      </c>
      <c r="K166" s="2">
        <v>68486</v>
      </c>
      <c r="L166" s="2">
        <v>614784</v>
      </c>
      <c r="M166" s="2">
        <v>62247</v>
      </c>
    </row>
    <row r="167" spans="1:13" ht="12.75" x14ac:dyDescent="0.2">
      <c r="A167" s="16" t="s">
        <v>60</v>
      </c>
      <c r="B167" s="2">
        <v>3955</v>
      </c>
      <c r="C167" s="2">
        <v>546</v>
      </c>
      <c r="D167" s="2">
        <v>34668</v>
      </c>
      <c r="E167" s="2">
        <v>16867</v>
      </c>
      <c r="F167" s="2">
        <v>102761</v>
      </c>
      <c r="G167" s="2">
        <v>11048</v>
      </c>
      <c r="H167" s="2">
        <v>363085</v>
      </c>
      <c r="I167" s="2">
        <v>7369</v>
      </c>
      <c r="J167" s="10" t="s">
        <v>47</v>
      </c>
      <c r="K167" s="2">
        <v>67556</v>
      </c>
      <c r="L167" s="2">
        <v>607855</v>
      </c>
      <c r="M167" s="2">
        <v>59395</v>
      </c>
    </row>
    <row r="168" spans="1:13" ht="12.75" x14ac:dyDescent="0.2">
      <c r="A168" s="8" t="s">
        <v>31</v>
      </c>
      <c r="B168" s="2"/>
      <c r="C168" s="2"/>
      <c r="D168" s="2"/>
      <c r="E168" s="2"/>
      <c r="F168" s="2"/>
      <c r="G168" s="2"/>
      <c r="H168" s="2"/>
      <c r="I168" s="2"/>
      <c r="J168" s="9"/>
      <c r="K168" s="2"/>
      <c r="L168" s="2"/>
      <c r="M168" s="2"/>
    </row>
    <row r="169" spans="1:13" ht="12.75" x14ac:dyDescent="0.2">
      <c r="A169" s="16" t="s">
        <v>62</v>
      </c>
      <c r="B169" s="2">
        <v>3618</v>
      </c>
      <c r="C169" s="2">
        <v>481</v>
      </c>
      <c r="D169" s="2">
        <v>38961</v>
      </c>
      <c r="E169" s="2">
        <v>16334</v>
      </c>
      <c r="F169" s="2">
        <v>98054</v>
      </c>
      <c r="G169" s="2">
        <v>13038</v>
      </c>
      <c r="H169" s="2">
        <v>370762</v>
      </c>
      <c r="I169" s="2">
        <v>7902</v>
      </c>
      <c r="J169" s="10" t="s">
        <v>47</v>
      </c>
      <c r="K169" s="2">
        <v>63597</v>
      </c>
      <c r="L169" s="2">
        <v>612747</v>
      </c>
      <c r="M169" s="2">
        <v>54618</v>
      </c>
    </row>
    <row r="170" spans="1:13" ht="12.75" x14ac:dyDescent="0.2">
      <c r="A170" s="16" t="s">
        <v>63</v>
      </c>
      <c r="B170" s="2">
        <v>3591</v>
      </c>
      <c r="C170" s="2">
        <v>521</v>
      </c>
      <c r="D170" s="2">
        <v>28339</v>
      </c>
      <c r="E170" s="2">
        <v>17045</v>
      </c>
      <c r="F170" s="2">
        <v>104948</v>
      </c>
      <c r="G170" s="2">
        <v>14137</v>
      </c>
      <c r="H170" s="2">
        <v>373021</v>
      </c>
      <c r="I170" s="2">
        <v>8339</v>
      </c>
      <c r="J170" s="10" t="s">
        <v>47</v>
      </c>
      <c r="K170" s="2">
        <v>73949</v>
      </c>
      <c r="L170" s="2">
        <v>623890</v>
      </c>
      <c r="M170" s="2">
        <v>63642</v>
      </c>
    </row>
    <row r="171" spans="1:13" ht="12.75" x14ac:dyDescent="0.2">
      <c r="A171" s="16" t="s">
        <v>64</v>
      </c>
      <c r="B171" s="2">
        <v>4524</v>
      </c>
      <c r="C171" s="2">
        <v>501</v>
      </c>
      <c r="D171" s="2">
        <v>30452</v>
      </c>
      <c r="E171" s="2">
        <v>18303</v>
      </c>
      <c r="F171" s="2">
        <v>105290</v>
      </c>
      <c r="G171" s="2">
        <v>11979</v>
      </c>
      <c r="H171" s="2">
        <v>387648</v>
      </c>
      <c r="I171" s="2">
        <v>7995</v>
      </c>
      <c r="J171" s="10" t="s">
        <v>47</v>
      </c>
      <c r="K171" s="2">
        <v>78333</v>
      </c>
      <c r="L171" s="2">
        <v>645025</v>
      </c>
      <c r="M171" s="2">
        <v>64153</v>
      </c>
    </row>
    <row r="172" spans="1:13" ht="12.75" x14ac:dyDescent="0.2">
      <c r="A172" s="16" t="s">
        <v>65</v>
      </c>
      <c r="B172" s="2">
        <v>4100</v>
      </c>
      <c r="C172" s="2">
        <v>786</v>
      </c>
      <c r="D172" s="2">
        <v>30594</v>
      </c>
      <c r="E172" s="2">
        <v>19944</v>
      </c>
      <c r="F172" s="2">
        <v>109480</v>
      </c>
      <c r="G172" s="2">
        <v>8527</v>
      </c>
      <c r="H172" s="2">
        <v>387774</v>
      </c>
      <c r="I172" s="2">
        <v>7997</v>
      </c>
      <c r="J172" s="10" t="s">
        <v>47</v>
      </c>
      <c r="K172" s="2">
        <v>69081</v>
      </c>
      <c r="L172" s="2">
        <v>638283</v>
      </c>
      <c r="M172" s="2">
        <v>55591</v>
      </c>
    </row>
    <row r="173" spans="1:13" ht="12.75" x14ac:dyDescent="0.2">
      <c r="A173" s="16" t="s">
        <v>66</v>
      </c>
      <c r="B173" s="2">
        <v>5164</v>
      </c>
      <c r="C173" s="2">
        <v>748</v>
      </c>
      <c r="D173" s="2">
        <v>43205</v>
      </c>
      <c r="E173" s="2">
        <v>19951</v>
      </c>
      <c r="F173" s="2">
        <v>109862</v>
      </c>
      <c r="G173" s="2">
        <v>10663</v>
      </c>
      <c r="H173" s="2">
        <v>388326</v>
      </c>
      <c r="I173" s="2">
        <v>9706</v>
      </c>
      <c r="J173" s="10" t="s">
        <v>47</v>
      </c>
      <c r="K173" s="2">
        <v>69888</v>
      </c>
      <c r="L173" s="2">
        <v>657513</v>
      </c>
      <c r="M173" s="2">
        <v>59775</v>
      </c>
    </row>
    <row r="174" spans="1:13" ht="12.75" x14ac:dyDescent="0.2">
      <c r="A174" s="16" t="s">
        <v>67</v>
      </c>
      <c r="B174" s="2">
        <v>4329</v>
      </c>
      <c r="C174" s="2">
        <v>628</v>
      </c>
      <c r="D174" s="2">
        <v>37059</v>
      </c>
      <c r="E174" s="2">
        <v>18855</v>
      </c>
      <c r="F174" s="2">
        <v>117464</v>
      </c>
      <c r="G174" s="2">
        <v>11223</v>
      </c>
      <c r="H174" s="2">
        <v>391834</v>
      </c>
      <c r="I174" s="2">
        <v>8450</v>
      </c>
      <c r="J174" s="10" t="s">
        <v>47</v>
      </c>
      <c r="K174" s="2">
        <v>75961</v>
      </c>
      <c r="L174" s="2">
        <v>665803</v>
      </c>
      <c r="M174" s="2">
        <v>64456</v>
      </c>
    </row>
    <row r="175" spans="1:13" ht="12.75" x14ac:dyDescent="0.2">
      <c r="A175" s="16" t="s">
        <v>68</v>
      </c>
      <c r="B175" s="2">
        <v>4490</v>
      </c>
      <c r="C175" s="2">
        <v>710</v>
      </c>
      <c r="D175" s="2">
        <v>39955</v>
      </c>
      <c r="E175" s="2">
        <v>21308</v>
      </c>
      <c r="F175" s="2">
        <v>114209</v>
      </c>
      <c r="G175" s="2">
        <v>11053</v>
      </c>
      <c r="H175" s="2">
        <v>388912</v>
      </c>
      <c r="I175" s="2">
        <v>8343</v>
      </c>
      <c r="J175" s="10" t="s">
        <v>47</v>
      </c>
      <c r="K175" s="2">
        <v>69916</v>
      </c>
      <c r="L175" s="2">
        <v>658896</v>
      </c>
      <c r="M175" s="2">
        <v>65145</v>
      </c>
    </row>
    <row r="176" spans="1:13" ht="12.75" x14ac:dyDescent="0.2">
      <c r="A176" s="16" t="s">
        <v>69</v>
      </c>
      <c r="B176" s="2">
        <v>4271</v>
      </c>
      <c r="C176" s="2">
        <v>488</v>
      </c>
      <c r="D176" s="2">
        <v>41352</v>
      </c>
      <c r="E176" s="2">
        <v>20618</v>
      </c>
      <c r="F176" s="2">
        <v>113411</v>
      </c>
      <c r="G176" s="2">
        <v>10385</v>
      </c>
      <c r="H176" s="2">
        <v>397653</v>
      </c>
      <c r="I176" s="2">
        <v>8536</v>
      </c>
      <c r="J176" s="10" t="s">
        <v>47</v>
      </c>
      <c r="K176" s="2">
        <v>77220</v>
      </c>
      <c r="L176" s="2">
        <v>673934</v>
      </c>
      <c r="M176" s="2">
        <v>71506</v>
      </c>
    </row>
    <row r="177" spans="1:13" ht="12.75" x14ac:dyDescent="0.2">
      <c r="A177" s="16" t="s">
        <v>72</v>
      </c>
      <c r="B177" s="2">
        <v>5267</v>
      </c>
      <c r="C177" s="2">
        <v>335</v>
      </c>
      <c r="D177" s="2">
        <v>52660</v>
      </c>
      <c r="E177" s="2">
        <v>20331</v>
      </c>
      <c r="F177" s="2">
        <v>105365</v>
      </c>
      <c r="G177" s="2">
        <v>11072</v>
      </c>
      <c r="H177" s="2">
        <v>395354</v>
      </c>
      <c r="I177" s="2">
        <v>8207</v>
      </c>
      <c r="J177" s="10" t="s">
        <v>47</v>
      </c>
      <c r="K177" s="2">
        <v>71898</v>
      </c>
      <c r="L177" s="2">
        <v>670489</v>
      </c>
      <c r="M177" s="2">
        <v>65889</v>
      </c>
    </row>
    <row r="178" spans="1:13" ht="12.75" x14ac:dyDescent="0.2">
      <c r="A178" s="16" t="s">
        <v>58</v>
      </c>
      <c r="B178" s="2">
        <v>4348</v>
      </c>
      <c r="C178" s="2">
        <v>453</v>
      </c>
      <c r="D178" s="2">
        <v>49091</v>
      </c>
      <c r="E178" s="2">
        <v>20877</v>
      </c>
      <c r="F178" s="2">
        <v>108732</v>
      </c>
      <c r="G178" s="2">
        <v>10501</v>
      </c>
      <c r="H178" s="2">
        <v>396778</v>
      </c>
      <c r="I178" s="2">
        <v>8719</v>
      </c>
      <c r="J178" s="10" t="s">
        <v>47</v>
      </c>
      <c r="K178" s="2">
        <v>73534</v>
      </c>
      <c r="L178" s="2">
        <v>673033</v>
      </c>
      <c r="M178" s="2">
        <v>62874</v>
      </c>
    </row>
    <row r="179" spans="1:13" ht="12.75" x14ac:dyDescent="0.2">
      <c r="A179" s="16" t="s">
        <v>59</v>
      </c>
      <c r="B179" s="2">
        <v>4812</v>
      </c>
      <c r="C179" s="2">
        <v>391</v>
      </c>
      <c r="D179" s="2">
        <v>47214</v>
      </c>
      <c r="E179" s="2">
        <v>20249</v>
      </c>
      <c r="F179" s="2">
        <v>114654</v>
      </c>
      <c r="G179" s="2">
        <v>10558</v>
      </c>
      <c r="H179" s="2">
        <v>398085</v>
      </c>
      <c r="I179" s="2">
        <v>8847</v>
      </c>
      <c r="J179" s="10" t="s">
        <v>47</v>
      </c>
      <c r="K179" s="2">
        <v>72683</v>
      </c>
      <c r="L179" s="2">
        <v>677493</v>
      </c>
      <c r="M179" s="2">
        <v>61595</v>
      </c>
    </row>
    <row r="180" spans="1:13" ht="12.75" x14ac:dyDescent="0.2">
      <c r="A180" s="16" t="s">
        <v>60</v>
      </c>
      <c r="B180" s="2">
        <v>4939</v>
      </c>
      <c r="C180" s="2">
        <v>437</v>
      </c>
      <c r="D180" s="2">
        <v>43154</v>
      </c>
      <c r="E180" s="2">
        <v>19835</v>
      </c>
      <c r="F180" s="2">
        <v>119804</v>
      </c>
      <c r="G180" s="2">
        <v>11113</v>
      </c>
      <c r="H180" s="2">
        <v>393066</v>
      </c>
      <c r="I180" s="2">
        <v>7971</v>
      </c>
      <c r="J180" s="10" t="s">
        <v>47</v>
      </c>
      <c r="K180" s="2">
        <v>74683</v>
      </c>
      <c r="L180" s="2">
        <v>675002</v>
      </c>
      <c r="M180" s="2">
        <v>62102</v>
      </c>
    </row>
    <row r="181" spans="1:13" ht="12.75" x14ac:dyDescent="0.2">
      <c r="A181" s="8" t="s">
        <v>32</v>
      </c>
      <c r="B181" s="2"/>
      <c r="C181" s="2"/>
      <c r="D181" s="2"/>
      <c r="E181" s="2"/>
      <c r="F181" s="2"/>
      <c r="G181" s="2"/>
      <c r="H181" s="2"/>
      <c r="I181" s="2"/>
      <c r="J181" s="9"/>
      <c r="K181" s="2"/>
      <c r="L181" s="2"/>
      <c r="M181" s="2"/>
    </row>
    <row r="182" spans="1:13" ht="12.75" x14ac:dyDescent="0.2">
      <c r="A182" s="16" t="s">
        <v>62</v>
      </c>
      <c r="B182" s="2">
        <v>4022</v>
      </c>
      <c r="C182" s="2">
        <v>472</v>
      </c>
      <c r="D182" s="2">
        <v>47287</v>
      </c>
      <c r="E182" s="2">
        <v>19938</v>
      </c>
      <c r="F182" s="2">
        <v>115471</v>
      </c>
      <c r="G182" s="2">
        <v>10843</v>
      </c>
      <c r="H182" s="2">
        <v>398989</v>
      </c>
      <c r="I182" s="2">
        <v>9621</v>
      </c>
      <c r="J182" s="10" t="s">
        <v>47</v>
      </c>
      <c r="K182" s="2">
        <v>69450</v>
      </c>
      <c r="L182" s="2">
        <v>676094</v>
      </c>
      <c r="M182" s="2">
        <v>63406</v>
      </c>
    </row>
    <row r="183" spans="1:13" ht="12.75" x14ac:dyDescent="0.2">
      <c r="A183" s="16" t="s">
        <v>63</v>
      </c>
      <c r="B183" s="2">
        <v>3976</v>
      </c>
      <c r="C183" s="2">
        <v>896</v>
      </c>
      <c r="D183" s="2">
        <v>48156</v>
      </c>
      <c r="E183" s="2">
        <v>20214</v>
      </c>
      <c r="F183" s="2">
        <v>111179</v>
      </c>
      <c r="G183" s="2">
        <v>11775</v>
      </c>
      <c r="H183" s="2">
        <v>406171</v>
      </c>
      <c r="I183" s="2">
        <v>9789</v>
      </c>
      <c r="J183" s="10" t="s">
        <v>47</v>
      </c>
      <c r="K183" s="2">
        <v>71729</v>
      </c>
      <c r="L183" s="2">
        <v>683885</v>
      </c>
      <c r="M183" s="2">
        <v>62949</v>
      </c>
    </row>
    <row r="184" spans="1:13" ht="12.75" x14ac:dyDescent="0.2">
      <c r="A184" s="16" t="s">
        <v>64</v>
      </c>
      <c r="B184" s="2">
        <v>4146</v>
      </c>
      <c r="C184" s="2">
        <v>1013</v>
      </c>
      <c r="D184" s="2">
        <v>47521</v>
      </c>
      <c r="E184" s="2">
        <v>20691</v>
      </c>
      <c r="F184" s="2">
        <v>118143</v>
      </c>
      <c r="G184" s="2">
        <v>13088</v>
      </c>
      <c r="H184" s="2">
        <v>406351</v>
      </c>
      <c r="I184" s="2">
        <v>8975</v>
      </c>
      <c r="J184" s="10" t="s">
        <v>47</v>
      </c>
      <c r="K184" s="2">
        <v>72148</v>
      </c>
      <c r="L184" s="2">
        <v>692076</v>
      </c>
      <c r="M184" s="2">
        <v>65259</v>
      </c>
    </row>
    <row r="185" spans="1:13" ht="12.75" x14ac:dyDescent="0.2">
      <c r="A185" s="16" t="s">
        <v>65</v>
      </c>
      <c r="B185" s="2">
        <v>3373</v>
      </c>
      <c r="C185" s="2">
        <v>898</v>
      </c>
      <c r="D185" s="2">
        <v>51553</v>
      </c>
      <c r="E185" s="2">
        <v>21459</v>
      </c>
      <c r="F185" s="2">
        <v>119620</v>
      </c>
      <c r="G185" s="2">
        <v>10334</v>
      </c>
      <c r="H185" s="2">
        <v>403345</v>
      </c>
      <c r="I185" s="2">
        <v>8936</v>
      </c>
      <c r="J185" s="10" t="s">
        <v>47</v>
      </c>
      <c r="K185" s="2">
        <v>70625</v>
      </c>
      <c r="L185" s="2">
        <v>690143</v>
      </c>
      <c r="M185" s="2">
        <v>62709</v>
      </c>
    </row>
    <row r="186" spans="1:13" ht="12.75" x14ac:dyDescent="0.2">
      <c r="A186" s="16" t="s">
        <v>66</v>
      </c>
      <c r="B186" s="2">
        <v>3613</v>
      </c>
      <c r="C186" s="2">
        <v>951</v>
      </c>
      <c r="D186" s="2">
        <v>54582</v>
      </c>
      <c r="E186" s="2">
        <v>20433</v>
      </c>
      <c r="F186" s="2">
        <v>129392</v>
      </c>
      <c r="G186" s="2">
        <v>10693</v>
      </c>
      <c r="H186" s="2">
        <v>402584</v>
      </c>
      <c r="I186" s="2">
        <v>9962</v>
      </c>
      <c r="J186" s="10" t="s">
        <v>47</v>
      </c>
      <c r="K186" s="2">
        <v>73149</v>
      </c>
      <c r="L186" s="2">
        <v>705359</v>
      </c>
      <c r="M186" s="2">
        <v>64757</v>
      </c>
    </row>
    <row r="187" spans="1:13" ht="12.75" x14ac:dyDescent="0.2">
      <c r="A187" s="16" t="s">
        <v>67</v>
      </c>
      <c r="B187" s="2">
        <v>4151</v>
      </c>
      <c r="C187" s="2">
        <v>917</v>
      </c>
      <c r="D187" s="2">
        <v>54956</v>
      </c>
      <c r="E187" s="2">
        <v>20497</v>
      </c>
      <c r="F187" s="2">
        <v>129189</v>
      </c>
      <c r="G187" s="2">
        <v>10925</v>
      </c>
      <c r="H187" s="2">
        <v>401889</v>
      </c>
      <c r="I187" s="2">
        <v>9564</v>
      </c>
      <c r="J187" s="10" t="s">
        <v>47</v>
      </c>
      <c r="K187" s="2">
        <v>73340</v>
      </c>
      <c r="L187" s="2">
        <v>705428</v>
      </c>
      <c r="M187" s="2">
        <v>66361</v>
      </c>
    </row>
    <row r="188" spans="1:13" ht="12.75" x14ac:dyDescent="0.2">
      <c r="A188" s="16" t="s">
        <v>68</v>
      </c>
      <c r="B188" s="2">
        <v>2429</v>
      </c>
      <c r="C188" s="2">
        <v>765</v>
      </c>
      <c r="D188" s="2">
        <v>53454</v>
      </c>
      <c r="E188" s="2">
        <v>20392</v>
      </c>
      <c r="F188" s="2">
        <v>139663</v>
      </c>
      <c r="G188" s="2">
        <v>10749</v>
      </c>
      <c r="H188" s="2">
        <v>407691</v>
      </c>
      <c r="I188" s="2">
        <v>9598</v>
      </c>
      <c r="J188" s="10" t="s">
        <v>47</v>
      </c>
      <c r="K188" s="2">
        <v>76561</v>
      </c>
      <c r="L188" s="2">
        <v>721411</v>
      </c>
      <c r="M188" s="2">
        <v>71093</v>
      </c>
    </row>
    <row r="189" spans="1:13" ht="12.75" x14ac:dyDescent="0.2">
      <c r="A189" s="16" t="s">
        <v>69</v>
      </c>
      <c r="B189" s="2">
        <v>3762</v>
      </c>
      <c r="C189" s="2">
        <v>761</v>
      </c>
      <c r="D189" s="2">
        <v>53225</v>
      </c>
      <c r="E189" s="2">
        <v>21636</v>
      </c>
      <c r="F189" s="2">
        <v>134403</v>
      </c>
      <c r="G189" s="2">
        <v>10407</v>
      </c>
      <c r="H189" s="2">
        <v>408834</v>
      </c>
      <c r="I189" s="2">
        <v>8954</v>
      </c>
      <c r="J189" s="10" t="s">
        <v>47</v>
      </c>
      <c r="K189" s="2">
        <v>78588</v>
      </c>
      <c r="L189" s="2">
        <v>720570</v>
      </c>
      <c r="M189" s="2">
        <v>71161</v>
      </c>
    </row>
    <row r="190" spans="1:13" ht="12.75" x14ac:dyDescent="0.2">
      <c r="A190" s="16" t="s">
        <v>72</v>
      </c>
      <c r="B190" s="2">
        <v>4226</v>
      </c>
      <c r="C190" s="2">
        <v>738</v>
      </c>
      <c r="D190" s="2">
        <v>54362</v>
      </c>
      <c r="E190" s="2">
        <v>20890</v>
      </c>
      <c r="F190" s="2">
        <v>141199</v>
      </c>
      <c r="G190" s="2">
        <v>11156</v>
      </c>
      <c r="H190" s="2">
        <v>399566</v>
      </c>
      <c r="I190" s="2">
        <v>8771</v>
      </c>
      <c r="J190" s="10" t="s">
        <v>47</v>
      </c>
      <c r="K190" s="2">
        <v>80248</v>
      </c>
      <c r="L190" s="2">
        <v>721156</v>
      </c>
      <c r="M190" s="2">
        <v>74626</v>
      </c>
    </row>
    <row r="191" spans="1:13" ht="12.75" x14ac:dyDescent="0.2">
      <c r="A191" s="16" t="s">
        <v>58</v>
      </c>
      <c r="B191" s="2">
        <v>4604</v>
      </c>
      <c r="C191" s="2">
        <v>744</v>
      </c>
      <c r="D191" s="2">
        <v>54762</v>
      </c>
      <c r="E191" s="2">
        <v>20168</v>
      </c>
      <c r="F191" s="2">
        <v>127390</v>
      </c>
      <c r="G191" s="2">
        <v>11236</v>
      </c>
      <c r="H191" s="2">
        <v>408593</v>
      </c>
      <c r="I191" s="2">
        <v>9390</v>
      </c>
      <c r="J191" s="10" t="s">
        <v>47</v>
      </c>
      <c r="K191" s="2">
        <v>80483</v>
      </c>
      <c r="L191" s="2">
        <v>717370</v>
      </c>
      <c r="M191" s="2">
        <v>74300</v>
      </c>
    </row>
    <row r="192" spans="1:13" ht="12.75" x14ac:dyDescent="0.2">
      <c r="A192" s="16" t="s">
        <v>59</v>
      </c>
      <c r="B192" s="2">
        <v>3903</v>
      </c>
      <c r="C192" s="2">
        <v>1086</v>
      </c>
      <c r="D192" s="2">
        <v>52450</v>
      </c>
      <c r="E192" s="2">
        <v>19791</v>
      </c>
      <c r="F192" s="2">
        <v>134996</v>
      </c>
      <c r="G192" s="2">
        <v>11703</v>
      </c>
      <c r="H192" s="2">
        <v>407695</v>
      </c>
      <c r="I192" s="2">
        <v>9378</v>
      </c>
      <c r="J192" s="10" t="s">
        <v>47</v>
      </c>
      <c r="K192" s="2">
        <v>86926</v>
      </c>
      <c r="L192" s="2">
        <v>727928</v>
      </c>
      <c r="M192" s="2">
        <v>80896</v>
      </c>
    </row>
    <row r="193" spans="1:13" ht="12.75" x14ac:dyDescent="0.2">
      <c r="A193" s="16" t="s">
        <v>60</v>
      </c>
      <c r="B193" s="2">
        <v>9024</v>
      </c>
      <c r="C193" s="2">
        <v>1284</v>
      </c>
      <c r="D193" s="2">
        <v>45114</v>
      </c>
      <c r="E193" s="2">
        <v>20340</v>
      </c>
      <c r="F193" s="2">
        <v>141179</v>
      </c>
      <c r="G193" s="2">
        <v>12378</v>
      </c>
      <c r="H193" s="2">
        <v>409560</v>
      </c>
      <c r="I193" s="2">
        <v>8913</v>
      </c>
      <c r="J193" s="10" t="s">
        <v>47</v>
      </c>
      <c r="K193" s="2">
        <v>94684</v>
      </c>
      <c r="L193" s="2">
        <v>742476</v>
      </c>
      <c r="M193" s="2">
        <v>81021</v>
      </c>
    </row>
    <row r="194" spans="1:13" ht="15" customHeight="1" x14ac:dyDescent="0.2">
      <c r="A194" s="8" t="s">
        <v>33</v>
      </c>
      <c r="B194" s="2"/>
      <c r="C194" s="2"/>
      <c r="D194" s="2"/>
      <c r="E194" s="2"/>
      <c r="F194" s="2"/>
      <c r="G194" s="2"/>
      <c r="H194" s="2"/>
      <c r="I194" s="2"/>
      <c r="J194" s="9"/>
      <c r="K194" s="2"/>
      <c r="L194" s="2"/>
      <c r="M194" s="2"/>
    </row>
    <row r="195" spans="1:13" ht="12.75" x14ac:dyDescent="0.2">
      <c r="A195" s="16" t="s">
        <v>62</v>
      </c>
      <c r="B195" s="2">
        <v>3197</v>
      </c>
      <c r="C195" s="2">
        <v>1262</v>
      </c>
      <c r="D195" s="2">
        <v>47650</v>
      </c>
      <c r="E195" s="2">
        <v>18754</v>
      </c>
      <c r="F195" s="2">
        <v>145321</v>
      </c>
      <c r="G195" s="2">
        <v>12940</v>
      </c>
      <c r="H195" s="2">
        <v>413083</v>
      </c>
      <c r="I195" s="2">
        <v>10311</v>
      </c>
      <c r="J195" s="10" t="s">
        <v>47</v>
      </c>
      <c r="K195" s="2">
        <v>88037</v>
      </c>
      <c r="L195" s="2">
        <f t="shared" ref="L195:L206" si="0">SUM(B195:K195)</f>
        <v>740555</v>
      </c>
      <c r="M195" s="2">
        <v>80642</v>
      </c>
    </row>
    <row r="196" spans="1:13" ht="12.75" x14ac:dyDescent="0.2">
      <c r="A196" s="16" t="s">
        <v>63</v>
      </c>
      <c r="B196" s="2">
        <v>4639</v>
      </c>
      <c r="C196" s="2">
        <v>1336</v>
      </c>
      <c r="D196" s="2">
        <v>43413</v>
      </c>
      <c r="E196" s="2">
        <v>18114</v>
      </c>
      <c r="F196" s="2">
        <v>142246</v>
      </c>
      <c r="G196" s="2">
        <v>13924</v>
      </c>
      <c r="H196" s="2">
        <v>417110</v>
      </c>
      <c r="I196" s="2">
        <v>10691</v>
      </c>
      <c r="J196" s="10" t="s">
        <v>47</v>
      </c>
      <c r="K196" s="2">
        <v>92327</v>
      </c>
      <c r="L196" s="2">
        <f t="shared" si="0"/>
        <v>743800</v>
      </c>
      <c r="M196" s="2">
        <v>81709</v>
      </c>
    </row>
    <row r="197" spans="1:13" ht="12.75" x14ac:dyDescent="0.2">
      <c r="A197" s="16" t="s">
        <v>64</v>
      </c>
      <c r="B197" s="2">
        <v>4543</v>
      </c>
      <c r="C197" s="2">
        <v>676</v>
      </c>
      <c r="D197" s="2">
        <v>44891</v>
      </c>
      <c r="E197" s="2">
        <v>18369</v>
      </c>
      <c r="F197" s="2">
        <v>147917</v>
      </c>
      <c r="G197" s="2">
        <v>14280</v>
      </c>
      <c r="H197" s="2">
        <v>424470</v>
      </c>
      <c r="I197" s="2">
        <v>9328</v>
      </c>
      <c r="J197" s="10" t="s">
        <v>47</v>
      </c>
      <c r="K197" s="2">
        <v>97759</v>
      </c>
      <c r="L197" s="2">
        <f t="shared" si="0"/>
        <v>762233</v>
      </c>
      <c r="M197" s="2">
        <v>88445</v>
      </c>
    </row>
    <row r="198" spans="1:13" ht="12.75" x14ac:dyDescent="0.2">
      <c r="A198" s="16" t="s">
        <v>65</v>
      </c>
      <c r="B198" s="2">
        <v>3555</v>
      </c>
      <c r="C198" s="2">
        <v>646</v>
      </c>
      <c r="D198" s="2">
        <v>47783</v>
      </c>
      <c r="E198" s="2">
        <v>18889</v>
      </c>
      <c r="F198" s="2">
        <v>142505</v>
      </c>
      <c r="G198" s="2">
        <v>15210</v>
      </c>
      <c r="H198" s="2">
        <v>428367</v>
      </c>
      <c r="I198" s="2">
        <v>10607</v>
      </c>
      <c r="J198" s="10" t="s">
        <v>47</v>
      </c>
      <c r="K198" s="2">
        <v>101021</v>
      </c>
      <c r="L198" s="2">
        <f t="shared" si="0"/>
        <v>768583</v>
      </c>
      <c r="M198" s="2">
        <v>89878</v>
      </c>
    </row>
    <row r="199" spans="1:13" ht="12.75" x14ac:dyDescent="0.2">
      <c r="A199" s="16" t="s">
        <v>66</v>
      </c>
      <c r="B199" s="2">
        <v>5857</v>
      </c>
      <c r="C199" s="2">
        <v>464</v>
      </c>
      <c r="D199" s="2">
        <v>48639</v>
      </c>
      <c r="E199" s="2">
        <v>18957</v>
      </c>
      <c r="F199" s="2">
        <v>136097</v>
      </c>
      <c r="G199" s="2">
        <v>15269</v>
      </c>
      <c r="H199" s="2">
        <v>431137</v>
      </c>
      <c r="I199" s="2">
        <v>10709</v>
      </c>
      <c r="J199" s="10" t="s">
        <v>47</v>
      </c>
      <c r="K199" s="2">
        <v>99929</v>
      </c>
      <c r="L199" s="2">
        <f t="shared" si="0"/>
        <v>767058</v>
      </c>
      <c r="M199" s="2">
        <v>88777</v>
      </c>
    </row>
    <row r="200" spans="1:13" ht="12.75" x14ac:dyDescent="0.2">
      <c r="A200" s="16" t="s">
        <v>67</v>
      </c>
      <c r="B200" s="2">
        <v>5557</v>
      </c>
      <c r="C200" s="2">
        <v>730</v>
      </c>
      <c r="D200" s="2">
        <v>48724</v>
      </c>
      <c r="E200" s="2">
        <v>19702</v>
      </c>
      <c r="F200" s="2">
        <v>144191</v>
      </c>
      <c r="G200" s="2">
        <v>14678</v>
      </c>
      <c r="H200" s="2">
        <v>434145</v>
      </c>
      <c r="I200" s="2">
        <v>10626</v>
      </c>
      <c r="J200" s="10" t="s">
        <v>47</v>
      </c>
      <c r="K200" s="2">
        <v>92547</v>
      </c>
      <c r="L200" s="2">
        <f t="shared" si="0"/>
        <v>770900</v>
      </c>
      <c r="M200" s="2">
        <v>82382</v>
      </c>
    </row>
    <row r="201" spans="1:13" ht="12.75" x14ac:dyDescent="0.2">
      <c r="A201" s="16" t="s">
        <v>68</v>
      </c>
      <c r="B201" s="2">
        <v>7209</v>
      </c>
      <c r="C201" s="2">
        <v>436</v>
      </c>
      <c r="D201" s="2">
        <v>51630</v>
      </c>
      <c r="E201" s="2">
        <v>19565</v>
      </c>
      <c r="F201" s="2">
        <v>149246</v>
      </c>
      <c r="G201" s="2">
        <v>14311</v>
      </c>
      <c r="H201" s="2">
        <v>437586</v>
      </c>
      <c r="I201" s="2">
        <v>11035</v>
      </c>
      <c r="J201" s="10" t="s">
        <v>47</v>
      </c>
      <c r="K201" s="2">
        <v>102199</v>
      </c>
      <c r="L201" s="2">
        <f t="shared" si="0"/>
        <v>793217</v>
      </c>
      <c r="M201" s="2">
        <v>90745</v>
      </c>
    </row>
    <row r="202" spans="1:13" ht="12.75" x14ac:dyDescent="0.2">
      <c r="A202" s="16" t="s">
        <v>69</v>
      </c>
      <c r="B202" s="2">
        <v>5337</v>
      </c>
      <c r="C202" s="2">
        <v>385</v>
      </c>
      <c r="D202" s="2">
        <v>52070</v>
      </c>
      <c r="E202" s="2">
        <v>20152</v>
      </c>
      <c r="F202" s="2">
        <v>144867</v>
      </c>
      <c r="G202" s="2">
        <v>15356</v>
      </c>
      <c r="H202" s="2">
        <v>440469</v>
      </c>
      <c r="I202" s="2">
        <v>11491</v>
      </c>
      <c r="J202" s="10" t="s">
        <v>47</v>
      </c>
      <c r="K202" s="2">
        <v>120822</v>
      </c>
      <c r="L202" s="2">
        <f t="shared" si="0"/>
        <v>810949</v>
      </c>
      <c r="M202" s="2">
        <v>107931</v>
      </c>
    </row>
    <row r="203" spans="1:13" ht="12.75" x14ac:dyDescent="0.2">
      <c r="A203" s="16" t="s">
        <v>72</v>
      </c>
      <c r="B203" s="2">
        <v>3358</v>
      </c>
      <c r="C203" s="2">
        <v>384</v>
      </c>
      <c r="D203" s="2">
        <v>52634</v>
      </c>
      <c r="E203" s="2">
        <v>21128</v>
      </c>
      <c r="F203" s="2">
        <v>144760</v>
      </c>
      <c r="G203" s="2">
        <v>14866</v>
      </c>
      <c r="H203" s="2">
        <v>450535</v>
      </c>
      <c r="I203" s="2">
        <v>11609</v>
      </c>
      <c r="J203" s="10" t="s">
        <v>47</v>
      </c>
      <c r="K203" s="2">
        <v>103411</v>
      </c>
      <c r="L203" s="2">
        <f t="shared" si="0"/>
        <v>802685</v>
      </c>
      <c r="M203" s="2">
        <v>89575</v>
      </c>
    </row>
    <row r="204" spans="1:13" ht="12.75" x14ac:dyDescent="0.2">
      <c r="A204" s="16" t="s">
        <v>58</v>
      </c>
      <c r="B204" s="2">
        <v>3927</v>
      </c>
      <c r="C204" s="2">
        <v>524</v>
      </c>
      <c r="D204" s="2">
        <v>51199</v>
      </c>
      <c r="E204" s="2">
        <v>21030</v>
      </c>
      <c r="F204" s="2">
        <v>135776</v>
      </c>
      <c r="G204" s="2">
        <v>15941</v>
      </c>
      <c r="H204" s="2">
        <v>456663</v>
      </c>
      <c r="I204" s="2">
        <v>11343</v>
      </c>
      <c r="J204" s="10" t="s">
        <v>47</v>
      </c>
      <c r="K204" s="2">
        <v>112066</v>
      </c>
      <c r="L204" s="2">
        <f t="shared" si="0"/>
        <v>808469</v>
      </c>
      <c r="M204" s="2">
        <v>99726</v>
      </c>
    </row>
    <row r="205" spans="1:13" ht="12.75" x14ac:dyDescent="0.2">
      <c r="A205" s="16" t="s">
        <v>59</v>
      </c>
      <c r="B205" s="2">
        <v>6070</v>
      </c>
      <c r="C205" s="2">
        <v>551</v>
      </c>
      <c r="D205" s="2">
        <v>34188</v>
      </c>
      <c r="E205" s="2">
        <v>21068</v>
      </c>
      <c r="F205" s="2">
        <v>145407</v>
      </c>
      <c r="G205" s="2">
        <v>16530</v>
      </c>
      <c r="H205" s="2">
        <v>462082</v>
      </c>
      <c r="I205" s="2">
        <v>11053</v>
      </c>
      <c r="J205" s="10" t="s">
        <v>47</v>
      </c>
      <c r="K205" s="2">
        <v>96806</v>
      </c>
      <c r="L205" s="2">
        <f t="shared" si="0"/>
        <v>793755</v>
      </c>
      <c r="M205" s="2">
        <v>82575</v>
      </c>
    </row>
    <row r="206" spans="1:13" ht="12.75" x14ac:dyDescent="0.2">
      <c r="A206" s="16" t="s">
        <v>60</v>
      </c>
      <c r="B206" s="2">
        <v>4458</v>
      </c>
      <c r="C206" s="2">
        <v>386</v>
      </c>
      <c r="D206" s="2">
        <v>34984</v>
      </c>
      <c r="E206" s="2">
        <v>20834</v>
      </c>
      <c r="F206" s="2">
        <v>148627</v>
      </c>
      <c r="G206" s="2">
        <v>17859</v>
      </c>
      <c r="H206" s="2">
        <v>459761</v>
      </c>
      <c r="I206" s="2">
        <v>11122</v>
      </c>
      <c r="J206" s="10" t="s">
        <v>47</v>
      </c>
      <c r="K206" s="2">
        <v>97731</v>
      </c>
      <c r="L206" s="2">
        <f t="shared" si="0"/>
        <v>795762</v>
      </c>
      <c r="M206" s="2">
        <v>79954</v>
      </c>
    </row>
    <row r="207" spans="1:13" ht="12.75" x14ac:dyDescent="0.2">
      <c r="A207" s="8" t="s">
        <v>34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ht="12.75" x14ac:dyDescent="0.2">
      <c r="A208" s="16" t="s">
        <v>62</v>
      </c>
      <c r="B208" s="2">
        <v>3523</v>
      </c>
      <c r="C208" s="2">
        <v>996</v>
      </c>
      <c r="D208" s="2">
        <f>37739-4519</f>
        <v>33220</v>
      </c>
      <c r="E208" s="2">
        <v>19544</v>
      </c>
      <c r="F208" s="2">
        <v>154134</v>
      </c>
      <c r="G208" s="2">
        <v>19034</v>
      </c>
      <c r="H208" s="2">
        <v>466127</v>
      </c>
      <c r="I208" s="2">
        <v>11213</v>
      </c>
      <c r="J208" s="10" t="s">
        <v>47</v>
      </c>
      <c r="K208" s="2">
        <f>67886+29187</f>
        <v>97073</v>
      </c>
      <c r="L208" s="2">
        <f t="shared" ref="L208:L232" si="1">SUM(B208:K208)</f>
        <v>804864</v>
      </c>
      <c r="M208" s="2">
        <f>14805+67902</f>
        <v>82707</v>
      </c>
    </row>
    <row r="209" spans="1:13" ht="12.75" x14ac:dyDescent="0.2">
      <c r="A209" s="16" t="s">
        <v>63</v>
      </c>
      <c r="B209" s="2">
        <v>3156</v>
      </c>
      <c r="C209" s="2">
        <v>1007</v>
      </c>
      <c r="D209" s="2">
        <v>33117</v>
      </c>
      <c r="E209" s="2">
        <v>21918</v>
      </c>
      <c r="F209" s="2">
        <v>150856</v>
      </c>
      <c r="G209" s="2">
        <v>20652</v>
      </c>
      <c r="H209" s="2">
        <v>476446</v>
      </c>
      <c r="I209" s="2">
        <v>11356</v>
      </c>
      <c r="J209" s="10" t="s">
        <v>47</v>
      </c>
      <c r="K209" s="2">
        <f>66142+29978</f>
        <v>96120</v>
      </c>
      <c r="L209" s="2">
        <f t="shared" si="1"/>
        <v>814628</v>
      </c>
      <c r="M209" s="2">
        <f>66158+15471</f>
        <v>81629</v>
      </c>
    </row>
    <row r="210" spans="1:13" ht="12.75" x14ac:dyDescent="0.2">
      <c r="A210" s="16" t="s">
        <v>64</v>
      </c>
      <c r="B210" s="2">
        <v>4536</v>
      </c>
      <c r="C210" s="2">
        <v>910</v>
      </c>
      <c r="D210" s="2">
        <f>34569-5446</f>
        <v>29123</v>
      </c>
      <c r="E210" s="2">
        <v>20884</v>
      </c>
      <c r="F210" s="2">
        <v>151432</v>
      </c>
      <c r="G210" s="2">
        <v>23803</v>
      </c>
      <c r="H210" s="2">
        <v>486765</v>
      </c>
      <c r="I210" s="2">
        <v>11083</v>
      </c>
      <c r="J210" s="10" t="s">
        <v>47</v>
      </c>
      <c r="K210" s="2">
        <v>96630</v>
      </c>
      <c r="L210" s="2">
        <f t="shared" si="1"/>
        <v>825166</v>
      </c>
      <c r="M210" s="2">
        <v>82445</v>
      </c>
    </row>
    <row r="211" spans="1:13" ht="12.75" x14ac:dyDescent="0.2">
      <c r="A211" s="16" t="s">
        <v>65</v>
      </c>
      <c r="B211" s="2">
        <v>5166</v>
      </c>
      <c r="C211" s="2">
        <v>1419</v>
      </c>
      <c r="D211" s="2">
        <v>29354</v>
      </c>
      <c r="E211" s="2">
        <v>23738</v>
      </c>
      <c r="F211" s="2">
        <v>151039</v>
      </c>
      <c r="G211" s="2">
        <v>24054</v>
      </c>
      <c r="H211" s="2">
        <v>493839</v>
      </c>
      <c r="I211" s="2">
        <v>11750</v>
      </c>
      <c r="J211" s="10" t="s">
        <v>47</v>
      </c>
      <c r="K211" s="2">
        <v>103614</v>
      </c>
      <c r="L211" s="2">
        <f t="shared" si="1"/>
        <v>843973</v>
      </c>
      <c r="M211" s="2">
        <v>90364</v>
      </c>
    </row>
    <row r="212" spans="1:13" ht="12.75" x14ac:dyDescent="0.2">
      <c r="A212" s="16" t="s">
        <v>66</v>
      </c>
      <c r="B212" s="2">
        <v>5179</v>
      </c>
      <c r="C212" s="2">
        <v>1251</v>
      </c>
      <c r="D212" s="2">
        <v>26847</v>
      </c>
      <c r="E212" s="2">
        <v>23990</v>
      </c>
      <c r="F212" s="2">
        <v>153789</v>
      </c>
      <c r="G212" s="2">
        <v>24696</v>
      </c>
      <c r="H212" s="2">
        <v>491678</v>
      </c>
      <c r="I212" s="2">
        <v>11376</v>
      </c>
      <c r="J212" s="10" t="s">
        <v>47</v>
      </c>
      <c r="K212" s="2">
        <v>100464</v>
      </c>
      <c r="L212" s="2">
        <f t="shared" si="1"/>
        <v>839270</v>
      </c>
      <c r="M212" s="2">
        <v>89193</v>
      </c>
    </row>
    <row r="213" spans="1:13" ht="12.75" x14ac:dyDescent="0.2">
      <c r="A213" s="16" t="s">
        <v>67</v>
      </c>
      <c r="B213" s="2">
        <v>5800</v>
      </c>
      <c r="C213" s="2">
        <v>1564</v>
      </c>
      <c r="D213" s="2">
        <v>32755</v>
      </c>
      <c r="E213" s="2">
        <v>21183</v>
      </c>
      <c r="F213" s="2">
        <v>166240</v>
      </c>
      <c r="G213" s="2">
        <v>24878</v>
      </c>
      <c r="H213" s="2">
        <v>498168</v>
      </c>
      <c r="I213" s="2">
        <v>11955</v>
      </c>
      <c r="J213" s="10" t="s">
        <v>47</v>
      </c>
      <c r="K213" s="2">
        <v>103417</v>
      </c>
      <c r="L213" s="2">
        <f t="shared" si="1"/>
        <v>865960</v>
      </c>
      <c r="M213" s="2">
        <v>90338</v>
      </c>
    </row>
    <row r="214" spans="1:13" ht="12.75" x14ac:dyDescent="0.2">
      <c r="A214" s="16" t="s">
        <v>68</v>
      </c>
      <c r="B214" s="2">
        <v>6071</v>
      </c>
      <c r="C214" s="2">
        <v>1268</v>
      </c>
      <c r="D214" s="2">
        <v>31872</v>
      </c>
      <c r="E214" s="2">
        <v>22514</v>
      </c>
      <c r="F214" s="2">
        <v>177855</v>
      </c>
      <c r="G214" s="2">
        <v>25245</v>
      </c>
      <c r="H214" s="2">
        <v>495868</v>
      </c>
      <c r="I214" s="2">
        <v>12260</v>
      </c>
      <c r="J214" s="10" t="s">
        <v>47</v>
      </c>
      <c r="K214" s="2">
        <v>102545</v>
      </c>
      <c r="L214" s="2">
        <f t="shared" si="1"/>
        <v>875498</v>
      </c>
      <c r="M214" s="2">
        <v>95130</v>
      </c>
    </row>
    <row r="215" spans="1:13" ht="12.75" x14ac:dyDescent="0.2">
      <c r="A215" s="16" t="s">
        <v>69</v>
      </c>
      <c r="B215" s="2">
        <v>6690</v>
      </c>
      <c r="C215" s="2">
        <v>1255</v>
      </c>
      <c r="D215" s="2">
        <v>29607</v>
      </c>
      <c r="E215" s="2">
        <v>23285</v>
      </c>
      <c r="F215" s="2">
        <v>168049</v>
      </c>
      <c r="G215" s="2">
        <v>25472</v>
      </c>
      <c r="H215" s="2">
        <v>508620</v>
      </c>
      <c r="I215" s="2">
        <v>11861</v>
      </c>
      <c r="J215" s="10" t="s">
        <v>47</v>
      </c>
      <c r="K215" s="2">
        <f>22984+83017</f>
        <v>106001</v>
      </c>
      <c r="L215" s="2">
        <f t="shared" si="1"/>
        <v>880840</v>
      </c>
      <c r="M215" s="2">
        <v>98027</v>
      </c>
    </row>
    <row r="216" spans="1:13" ht="12.75" x14ac:dyDescent="0.2">
      <c r="A216" s="16" t="s">
        <v>72</v>
      </c>
      <c r="B216" s="2">
        <v>4943</v>
      </c>
      <c r="C216" s="2">
        <v>980</v>
      </c>
      <c r="D216" s="2">
        <v>29551</v>
      </c>
      <c r="E216" s="2">
        <v>22713</v>
      </c>
      <c r="F216" s="2">
        <v>165339</v>
      </c>
      <c r="G216" s="2">
        <v>27475</v>
      </c>
      <c r="H216" s="2">
        <v>516142</v>
      </c>
      <c r="I216" s="2">
        <v>12414</v>
      </c>
      <c r="J216" s="10" t="s">
        <v>47</v>
      </c>
      <c r="K216" s="2">
        <f>23551+81954</f>
        <v>105505</v>
      </c>
      <c r="L216" s="2">
        <f t="shared" si="1"/>
        <v>885062</v>
      </c>
      <c r="M216" s="2">
        <v>97465</v>
      </c>
    </row>
    <row r="217" spans="1:13" ht="12.75" x14ac:dyDescent="0.2">
      <c r="A217" s="16" t="s">
        <v>58</v>
      </c>
      <c r="B217" s="2">
        <v>7240</v>
      </c>
      <c r="C217" s="2">
        <v>999</v>
      </c>
      <c r="D217" s="2">
        <v>27770</v>
      </c>
      <c r="E217" s="2">
        <v>24110</v>
      </c>
      <c r="F217" s="2">
        <v>175918</v>
      </c>
      <c r="G217" s="2">
        <v>26707</v>
      </c>
      <c r="H217" s="2">
        <v>514271</v>
      </c>
      <c r="I217" s="2">
        <v>12118</v>
      </c>
      <c r="J217" s="10" t="s">
        <v>47</v>
      </c>
      <c r="K217" s="2">
        <f>80156+24274</f>
        <v>104430</v>
      </c>
      <c r="L217" s="2">
        <f t="shared" si="1"/>
        <v>893563</v>
      </c>
      <c r="M217" s="2">
        <v>96749</v>
      </c>
    </row>
    <row r="218" spans="1:13" ht="12.75" x14ac:dyDescent="0.2">
      <c r="A218" s="16" t="s">
        <v>59</v>
      </c>
      <c r="B218" s="2">
        <v>7462</v>
      </c>
      <c r="C218" s="2">
        <v>2491</v>
      </c>
      <c r="D218" s="2">
        <v>31212</v>
      </c>
      <c r="E218" s="2">
        <v>23015</v>
      </c>
      <c r="F218" s="2">
        <v>174784</v>
      </c>
      <c r="G218" s="2">
        <v>27442</v>
      </c>
      <c r="H218" s="2">
        <v>518385</v>
      </c>
      <c r="I218" s="2">
        <v>12205</v>
      </c>
      <c r="J218" s="10" t="s">
        <v>47</v>
      </c>
      <c r="K218" s="2">
        <f>27364+82944</f>
        <v>110308</v>
      </c>
      <c r="L218" s="2">
        <f t="shared" si="1"/>
        <v>907304</v>
      </c>
      <c r="M218" s="2">
        <v>99834</v>
      </c>
    </row>
    <row r="219" spans="1:13" ht="12.75" x14ac:dyDescent="0.2">
      <c r="A219" s="16" t="s">
        <v>60</v>
      </c>
      <c r="B219" s="2">
        <v>15971</v>
      </c>
      <c r="C219" s="2">
        <v>1114</v>
      </c>
      <c r="D219" s="2">
        <v>31733</v>
      </c>
      <c r="E219" s="2">
        <v>28442</v>
      </c>
      <c r="F219" s="2">
        <v>169450</v>
      </c>
      <c r="G219" s="2">
        <v>28453</v>
      </c>
      <c r="H219" s="2">
        <v>525981</v>
      </c>
      <c r="I219" s="2">
        <v>11922</v>
      </c>
      <c r="J219" s="10" t="s">
        <v>47</v>
      </c>
      <c r="K219" s="2">
        <f>27157+90910</f>
        <v>118067</v>
      </c>
      <c r="L219" s="2">
        <f t="shared" si="1"/>
        <v>931133</v>
      </c>
      <c r="M219" s="2">
        <v>108110</v>
      </c>
    </row>
    <row r="220" spans="1:13" ht="12.75" x14ac:dyDescent="0.2">
      <c r="A220" s="8" t="s">
        <v>38</v>
      </c>
      <c r="B220" s="2"/>
      <c r="C220" s="2"/>
      <c r="D220" s="2"/>
      <c r="E220" s="2"/>
      <c r="F220" s="2"/>
      <c r="G220" s="2"/>
      <c r="H220" s="2"/>
      <c r="I220" s="2"/>
      <c r="J220" s="10"/>
      <c r="K220" s="2"/>
      <c r="L220" s="2"/>
      <c r="M220" s="2"/>
    </row>
    <row r="221" spans="1:13" ht="12.75" x14ac:dyDescent="0.2">
      <c r="A221" s="16" t="s">
        <v>62</v>
      </c>
      <c r="B221" s="2">
        <v>9880</v>
      </c>
      <c r="C221" s="2">
        <v>3053</v>
      </c>
      <c r="D221" s="2">
        <v>27116</v>
      </c>
      <c r="E221" s="2">
        <v>28303</v>
      </c>
      <c r="F221" s="2">
        <v>169410</v>
      </c>
      <c r="G221" s="2">
        <v>31280</v>
      </c>
      <c r="H221" s="2">
        <v>511066</v>
      </c>
      <c r="I221" s="2">
        <v>12010</v>
      </c>
      <c r="J221" s="10" t="s">
        <v>47</v>
      </c>
      <c r="K221" s="2">
        <v>125720</v>
      </c>
      <c r="L221" s="2">
        <f t="shared" si="1"/>
        <v>917838</v>
      </c>
      <c r="M221" s="2">
        <v>118032</v>
      </c>
    </row>
    <row r="222" spans="1:13" ht="12.75" x14ac:dyDescent="0.2">
      <c r="A222" s="16" t="s">
        <v>63</v>
      </c>
      <c r="B222" s="2">
        <v>11409</v>
      </c>
      <c r="C222" s="2">
        <v>4553</v>
      </c>
      <c r="D222" s="2">
        <v>24840</v>
      </c>
      <c r="E222" s="2">
        <v>22347</v>
      </c>
      <c r="F222" s="2">
        <v>176605</v>
      </c>
      <c r="G222" s="2">
        <v>31815</v>
      </c>
      <c r="H222" s="2">
        <v>521698</v>
      </c>
      <c r="I222" s="2">
        <v>11929</v>
      </c>
      <c r="J222" s="10" t="s">
        <v>47</v>
      </c>
      <c r="K222" s="2">
        <v>126540</v>
      </c>
      <c r="L222" s="2">
        <f t="shared" si="1"/>
        <v>931736</v>
      </c>
      <c r="M222" s="2">
        <v>118654</v>
      </c>
    </row>
    <row r="223" spans="1:13" ht="12.75" x14ac:dyDescent="0.2">
      <c r="A223" s="16" t="s">
        <v>64</v>
      </c>
      <c r="B223" s="2">
        <v>8869</v>
      </c>
      <c r="C223" s="2">
        <v>1067</v>
      </c>
      <c r="D223" s="2">
        <v>27555</v>
      </c>
      <c r="E223" s="2">
        <v>24825</v>
      </c>
      <c r="F223" s="2">
        <v>200006</v>
      </c>
      <c r="G223" s="2">
        <v>32382</v>
      </c>
      <c r="H223" s="2">
        <v>533018</v>
      </c>
      <c r="I223" s="2">
        <v>12323</v>
      </c>
      <c r="J223" s="10" t="s">
        <v>47</v>
      </c>
      <c r="K223" s="2">
        <v>140018</v>
      </c>
      <c r="L223" s="2">
        <f t="shared" si="1"/>
        <v>980063</v>
      </c>
      <c r="M223" s="2">
        <v>126417</v>
      </c>
    </row>
    <row r="224" spans="1:13" ht="12.75" x14ac:dyDescent="0.2">
      <c r="A224" s="16" t="s">
        <v>65</v>
      </c>
      <c r="B224" s="2">
        <v>6674</v>
      </c>
      <c r="C224" s="2">
        <v>1033</v>
      </c>
      <c r="D224" s="2">
        <v>32638</v>
      </c>
      <c r="E224" s="2">
        <v>23870</v>
      </c>
      <c r="F224" s="2">
        <v>220492</v>
      </c>
      <c r="G224" s="2">
        <v>29473</v>
      </c>
      <c r="H224" s="2">
        <v>540043</v>
      </c>
      <c r="I224" s="2">
        <v>12646</v>
      </c>
      <c r="J224" s="10" t="s">
        <v>47</v>
      </c>
      <c r="K224" s="2">
        <v>132009</v>
      </c>
      <c r="L224" s="2">
        <f t="shared" si="1"/>
        <v>998878</v>
      </c>
      <c r="M224" s="2">
        <v>118407</v>
      </c>
    </row>
    <row r="225" spans="1:13" ht="12.75" x14ac:dyDescent="0.2">
      <c r="A225" s="16" t="s">
        <v>66</v>
      </c>
      <c r="B225" s="2">
        <v>8880</v>
      </c>
      <c r="C225" s="2">
        <v>1387</v>
      </c>
      <c r="D225" s="2">
        <v>27603</v>
      </c>
      <c r="E225" s="2">
        <v>24731</v>
      </c>
      <c r="F225" s="2">
        <v>216478</v>
      </c>
      <c r="G225" s="2">
        <v>26212</v>
      </c>
      <c r="H225" s="2">
        <v>536591</v>
      </c>
      <c r="I225" s="2">
        <v>12879</v>
      </c>
      <c r="J225" s="10" t="s">
        <v>47</v>
      </c>
      <c r="K225" s="2">
        <v>127215</v>
      </c>
      <c r="L225" s="2">
        <f t="shared" si="1"/>
        <v>981976</v>
      </c>
      <c r="M225" s="2">
        <v>113828</v>
      </c>
    </row>
    <row r="226" spans="1:13" ht="12.75" x14ac:dyDescent="0.2">
      <c r="A226" s="16" t="s">
        <v>67</v>
      </c>
      <c r="B226" s="2">
        <v>8534</v>
      </c>
      <c r="C226" s="2">
        <v>1099</v>
      </c>
      <c r="D226" s="2">
        <v>28679</v>
      </c>
      <c r="E226" s="2">
        <v>24746</v>
      </c>
      <c r="F226" s="2">
        <v>232738</v>
      </c>
      <c r="G226" s="2">
        <v>26181</v>
      </c>
      <c r="H226" s="2">
        <v>514095</v>
      </c>
      <c r="I226" s="2">
        <v>13868</v>
      </c>
      <c r="J226" s="10" t="s">
        <v>47</v>
      </c>
      <c r="K226" s="2">
        <v>131063</v>
      </c>
      <c r="L226" s="2">
        <f t="shared" si="1"/>
        <v>981003</v>
      </c>
      <c r="M226" s="2">
        <v>114845</v>
      </c>
    </row>
    <row r="227" spans="1:13" ht="12.75" x14ac:dyDescent="0.2">
      <c r="A227" s="16" t="s">
        <v>68</v>
      </c>
      <c r="B227" s="2">
        <v>13833</v>
      </c>
      <c r="C227" s="2">
        <v>1166</v>
      </c>
      <c r="D227" s="2">
        <v>28631</v>
      </c>
      <c r="E227" s="2">
        <v>24464</v>
      </c>
      <c r="F227" s="2">
        <v>218812</v>
      </c>
      <c r="G227" s="2">
        <v>25504</v>
      </c>
      <c r="H227" s="2">
        <v>528737</v>
      </c>
      <c r="I227" s="2">
        <v>13164</v>
      </c>
      <c r="J227" s="10" t="s">
        <v>47</v>
      </c>
      <c r="K227" s="2">
        <v>145260</v>
      </c>
      <c r="L227" s="2">
        <f t="shared" si="1"/>
        <v>999571</v>
      </c>
      <c r="M227" s="2">
        <v>125846</v>
      </c>
    </row>
    <row r="228" spans="1:13" ht="12.75" x14ac:dyDescent="0.2">
      <c r="A228" s="16" t="s">
        <v>69</v>
      </c>
      <c r="B228" s="2">
        <v>8274</v>
      </c>
      <c r="C228" s="2">
        <v>1120</v>
      </c>
      <c r="D228" s="2">
        <v>28307</v>
      </c>
      <c r="E228" s="2">
        <v>23046</v>
      </c>
      <c r="F228" s="2">
        <v>221801</v>
      </c>
      <c r="G228" s="2">
        <v>22600</v>
      </c>
      <c r="H228" s="2">
        <v>520066</v>
      </c>
      <c r="I228" s="2">
        <v>12362</v>
      </c>
      <c r="J228" s="10" t="s">
        <v>47</v>
      </c>
      <c r="K228" s="2">
        <v>147200</v>
      </c>
      <c r="L228" s="2">
        <f t="shared" si="1"/>
        <v>984776</v>
      </c>
      <c r="M228" s="2">
        <v>131453</v>
      </c>
    </row>
    <row r="229" spans="1:13" ht="12.75" x14ac:dyDescent="0.2">
      <c r="A229" s="16" t="s">
        <v>72</v>
      </c>
      <c r="B229" s="2">
        <v>5224</v>
      </c>
      <c r="C229" s="2">
        <v>1258</v>
      </c>
      <c r="D229" s="2">
        <v>27498</v>
      </c>
      <c r="E229" s="2">
        <v>25118</v>
      </c>
      <c r="F229" s="2">
        <v>221816</v>
      </c>
      <c r="G229" s="2">
        <v>23507</v>
      </c>
      <c r="H229" s="2">
        <v>520529</v>
      </c>
      <c r="I229" s="2">
        <v>12938</v>
      </c>
      <c r="J229" s="10" t="s">
        <v>47</v>
      </c>
      <c r="K229" s="2">
        <v>143216</v>
      </c>
      <c r="L229" s="2">
        <f t="shared" si="1"/>
        <v>981104</v>
      </c>
      <c r="M229" s="2">
        <v>126046</v>
      </c>
    </row>
    <row r="230" spans="1:13" ht="12.75" x14ac:dyDescent="0.2">
      <c r="A230" s="16" t="s">
        <v>58</v>
      </c>
      <c r="B230" s="2">
        <v>5803</v>
      </c>
      <c r="C230" s="2">
        <v>652</v>
      </c>
      <c r="D230" s="2">
        <v>28189</v>
      </c>
      <c r="E230" s="2">
        <v>25276</v>
      </c>
      <c r="F230" s="2">
        <v>222778</v>
      </c>
      <c r="G230" s="2">
        <v>20519</v>
      </c>
      <c r="H230" s="2">
        <v>519783</v>
      </c>
      <c r="I230" s="2">
        <v>12009</v>
      </c>
      <c r="J230" s="10" t="s">
        <v>47</v>
      </c>
      <c r="K230" s="2">
        <v>130224</v>
      </c>
      <c r="L230" s="2">
        <f t="shared" si="1"/>
        <v>965233</v>
      </c>
      <c r="M230" s="2">
        <v>110512</v>
      </c>
    </row>
    <row r="231" spans="1:13" ht="12.75" x14ac:dyDescent="0.2">
      <c r="A231" s="16" t="s">
        <v>59</v>
      </c>
      <c r="B231" s="2">
        <v>4527</v>
      </c>
      <c r="C231" s="2">
        <v>659</v>
      </c>
      <c r="D231" s="2">
        <v>25258</v>
      </c>
      <c r="E231" s="2">
        <v>23024</v>
      </c>
      <c r="F231" s="2">
        <v>229267</v>
      </c>
      <c r="G231" s="2">
        <v>16131</v>
      </c>
      <c r="H231" s="2">
        <v>531995</v>
      </c>
      <c r="I231" s="2">
        <v>12081</v>
      </c>
      <c r="J231" s="10" t="s">
        <v>47</v>
      </c>
      <c r="K231" s="2">
        <v>134730</v>
      </c>
      <c r="L231" s="2">
        <f t="shared" si="1"/>
        <v>977672</v>
      </c>
      <c r="M231" s="2">
        <v>112300</v>
      </c>
    </row>
    <row r="232" spans="1:13" ht="12.75" x14ac:dyDescent="0.2">
      <c r="A232" s="16" t="s">
        <v>60</v>
      </c>
      <c r="B232" s="2">
        <v>7706</v>
      </c>
      <c r="C232" s="2">
        <v>599</v>
      </c>
      <c r="D232" s="2">
        <v>27026</v>
      </c>
      <c r="E232" s="2">
        <v>24103</v>
      </c>
      <c r="F232" s="2">
        <v>232230</v>
      </c>
      <c r="G232" s="2">
        <v>18740</v>
      </c>
      <c r="H232" s="2">
        <v>539966</v>
      </c>
      <c r="I232" s="2">
        <v>12270</v>
      </c>
      <c r="J232" s="10" t="s">
        <v>47</v>
      </c>
      <c r="K232" s="2">
        <v>126368</v>
      </c>
      <c r="L232" s="2">
        <f t="shared" si="1"/>
        <v>989008</v>
      </c>
      <c r="M232" s="2">
        <v>112148</v>
      </c>
    </row>
    <row r="233" spans="1:13" ht="15.75" customHeight="1" x14ac:dyDescent="0.2">
      <c r="A233" s="12" t="s">
        <v>43</v>
      </c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ht="12.75" x14ac:dyDescent="0.2">
      <c r="A234" s="16" t="s">
        <v>62</v>
      </c>
      <c r="B234" s="2">
        <v>6608</v>
      </c>
      <c r="C234" s="2">
        <v>1218</v>
      </c>
      <c r="D234" s="2">
        <v>28051</v>
      </c>
      <c r="E234" s="2">
        <v>26667</v>
      </c>
      <c r="F234" s="2">
        <v>235408</v>
      </c>
      <c r="G234" s="2">
        <v>18891</v>
      </c>
      <c r="H234" s="2">
        <v>544794</v>
      </c>
      <c r="I234" s="2">
        <v>12401</v>
      </c>
      <c r="J234" s="10" t="s">
        <v>47</v>
      </c>
      <c r="K234" s="2">
        <v>125643</v>
      </c>
      <c r="L234" s="2">
        <f t="shared" ref="L234:L258" si="2">SUM(B234:K234)</f>
        <v>999681</v>
      </c>
      <c r="M234" s="2">
        <v>109659</v>
      </c>
    </row>
    <row r="235" spans="1:13" ht="12.75" x14ac:dyDescent="0.2">
      <c r="A235" s="16" t="s">
        <v>63</v>
      </c>
      <c r="B235" s="2">
        <v>6599</v>
      </c>
      <c r="C235" s="2">
        <v>1044</v>
      </c>
      <c r="D235" s="2">
        <v>30121</v>
      </c>
      <c r="E235" s="2">
        <v>27208</v>
      </c>
      <c r="F235" s="2">
        <v>230818</v>
      </c>
      <c r="G235" s="2">
        <v>21888</v>
      </c>
      <c r="H235" s="2">
        <v>544565</v>
      </c>
      <c r="I235" s="2">
        <v>12504</v>
      </c>
      <c r="J235" s="2">
        <v>54311</v>
      </c>
      <c r="K235" s="2">
        <v>67393</v>
      </c>
      <c r="L235" s="2">
        <f t="shared" si="2"/>
        <v>996451</v>
      </c>
      <c r="M235" s="2">
        <v>107597</v>
      </c>
    </row>
    <row r="236" spans="1:13" ht="12.75" x14ac:dyDescent="0.2">
      <c r="A236" s="16" t="s">
        <v>64</v>
      </c>
      <c r="B236" s="2">
        <v>4993</v>
      </c>
      <c r="C236" s="2">
        <v>1786</v>
      </c>
      <c r="D236" s="2">
        <v>28708</v>
      </c>
      <c r="E236" s="2">
        <v>22591</v>
      </c>
      <c r="F236" s="2">
        <v>257572</v>
      </c>
      <c r="G236" s="2">
        <v>16949</v>
      </c>
      <c r="H236" s="2">
        <v>551274</v>
      </c>
      <c r="I236" s="2">
        <v>12244</v>
      </c>
      <c r="J236" s="2">
        <v>55023</v>
      </c>
      <c r="K236" s="2">
        <v>66109</v>
      </c>
      <c r="L236" s="2">
        <f t="shared" si="2"/>
        <v>1017249</v>
      </c>
      <c r="M236" s="2">
        <v>109132</v>
      </c>
    </row>
    <row r="237" spans="1:13" ht="12.75" x14ac:dyDescent="0.2">
      <c r="A237" s="16" t="s">
        <v>65</v>
      </c>
      <c r="B237" s="2">
        <v>19599</v>
      </c>
      <c r="C237" s="2">
        <v>1802</v>
      </c>
      <c r="D237" s="2">
        <v>31616</v>
      </c>
      <c r="E237" s="2">
        <v>31253</v>
      </c>
      <c r="F237" s="2">
        <v>198516</v>
      </c>
      <c r="G237" s="2">
        <v>16537</v>
      </c>
      <c r="H237" s="2">
        <v>549081</v>
      </c>
      <c r="I237" s="2">
        <v>12669</v>
      </c>
      <c r="J237" s="2">
        <v>55817</v>
      </c>
      <c r="K237" s="2">
        <v>117533</v>
      </c>
      <c r="L237" s="2">
        <f t="shared" si="2"/>
        <v>1034423</v>
      </c>
      <c r="M237" s="2">
        <v>105533</v>
      </c>
    </row>
    <row r="238" spans="1:13" ht="12.75" x14ac:dyDescent="0.2">
      <c r="A238" s="16" t="s">
        <v>66</v>
      </c>
      <c r="B238" s="2">
        <v>16981</v>
      </c>
      <c r="C238" s="2">
        <v>1882</v>
      </c>
      <c r="D238" s="2">
        <v>39161</v>
      </c>
      <c r="E238" s="2">
        <v>32923</v>
      </c>
      <c r="F238" s="2">
        <v>185116</v>
      </c>
      <c r="G238" s="2">
        <v>13829</v>
      </c>
      <c r="H238" s="2">
        <v>557429</v>
      </c>
      <c r="I238" s="2">
        <v>12949</v>
      </c>
      <c r="J238" s="2">
        <v>57734</v>
      </c>
      <c r="K238" s="2">
        <v>123160</v>
      </c>
      <c r="L238" s="2">
        <f t="shared" si="2"/>
        <v>1041164</v>
      </c>
      <c r="M238" s="2">
        <v>109796</v>
      </c>
    </row>
    <row r="239" spans="1:13" ht="12.75" x14ac:dyDescent="0.2">
      <c r="A239" s="16" t="s">
        <v>67</v>
      </c>
      <c r="B239" s="2">
        <v>16820</v>
      </c>
      <c r="C239" s="2">
        <v>1689</v>
      </c>
      <c r="D239" s="2">
        <v>31128</v>
      </c>
      <c r="E239" s="2">
        <v>31767</v>
      </c>
      <c r="F239" s="2">
        <v>192948</v>
      </c>
      <c r="G239" s="2">
        <v>12908</v>
      </c>
      <c r="H239" s="2">
        <v>560995</v>
      </c>
      <c r="I239" s="2">
        <v>13308</v>
      </c>
      <c r="J239" s="2">
        <v>55446</v>
      </c>
      <c r="K239" s="2">
        <v>119017</v>
      </c>
      <c r="L239" s="2">
        <f t="shared" si="2"/>
        <v>1036026</v>
      </c>
      <c r="M239" s="2">
        <v>108238</v>
      </c>
    </row>
    <row r="240" spans="1:13" ht="12.75" x14ac:dyDescent="0.2">
      <c r="A240" s="16" t="s">
        <v>68</v>
      </c>
      <c r="B240" s="2">
        <v>16621</v>
      </c>
      <c r="C240" s="2">
        <v>1613</v>
      </c>
      <c r="D240" s="2">
        <v>33070</v>
      </c>
      <c r="E240" s="2">
        <v>36857</v>
      </c>
      <c r="F240" s="2">
        <v>193551</v>
      </c>
      <c r="G240" s="2">
        <v>13668</v>
      </c>
      <c r="H240" s="2">
        <v>560771</v>
      </c>
      <c r="I240" s="2">
        <v>13454</v>
      </c>
      <c r="J240" s="2">
        <v>56114</v>
      </c>
      <c r="K240" s="2">
        <v>157773</v>
      </c>
      <c r="L240" s="2">
        <f t="shared" si="2"/>
        <v>1083492</v>
      </c>
      <c r="M240" s="2">
        <v>146944</v>
      </c>
    </row>
    <row r="241" spans="1:13" ht="12.75" x14ac:dyDescent="0.2">
      <c r="A241" s="16" t="s">
        <v>69</v>
      </c>
      <c r="B241" s="2">
        <v>17525</v>
      </c>
      <c r="C241" s="2">
        <v>4766</v>
      </c>
      <c r="D241" s="2">
        <v>31331</v>
      </c>
      <c r="E241" s="2">
        <v>34602</v>
      </c>
      <c r="F241" s="2">
        <v>203905</v>
      </c>
      <c r="G241" s="2">
        <v>11740</v>
      </c>
      <c r="H241" s="2">
        <v>564225</v>
      </c>
      <c r="I241" s="2">
        <v>14570</v>
      </c>
      <c r="J241" s="2">
        <v>52656</v>
      </c>
      <c r="K241" s="2">
        <v>119164</v>
      </c>
      <c r="L241" s="2">
        <f t="shared" si="2"/>
        <v>1054484</v>
      </c>
      <c r="M241" s="2">
        <v>110289</v>
      </c>
    </row>
    <row r="242" spans="1:13" ht="12.75" x14ac:dyDescent="0.2">
      <c r="A242" s="16" t="s">
        <v>72</v>
      </c>
      <c r="B242" s="2">
        <v>16243</v>
      </c>
      <c r="C242" s="2">
        <v>5030</v>
      </c>
      <c r="D242" s="2">
        <v>28072</v>
      </c>
      <c r="E242" s="2">
        <v>35053</v>
      </c>
      <c r="F242" s="2">
        <v>207148</v>
      </c>
      <c r="G242" s="2">
        <v>11576</v>
      </c>
      <c r="H242" s="2">
        <v>556202</v>
      </c>
      <c r="I242" s="2">
        <v>14057</v>
      </c>
      <c r="J242" s="2">
        <v>44191</v>
      </c>
      <c r="K242" s="2">
        <v>119108</v>
      </c>
      <c r="L242" s="2">
        <f t="shared" si="2"/>
        <v>1036680</v>
      </c>
      <c r="M242" s="2">
        <v>111971</v>
      </c>
    </row>
    <row r="243" spans="1:13" ht="12.75" x14ac:dyDescent="0.2">
      <c r="A243" s="16" t="s">
        <v>58</v>
      </c>
      <c r="B243" s="2">
        <v>16557</v>
      </c>
      <c r="C243" s="2">
        <v>5018</v>
      </c>
      <c r="D243" s="2">
        <v>29179</v>
      </c>
      <c r="E243" s="2">
        <v>34903</v>
      </c>
      <c r="F243" s="2">
        <v>192590</v>
      </c>
      <c r="G243" s="2">
        <v>11562</v>
      </c>
      <c r="H243" s="2">
        <v>561693</v>
      </c>
      <c r="I243" s="2">
        <v>13587</v>
      </c>
      <c r="J243" s="2">
        <v>43105</v>
      </c>
      <c r="K243" s="2">
        <v>110948</v>
      </c>
      <c r="L243" s="2">
        <f t="shared" si="2"/>
        <v>1019142</v>
      </c>
      <c r="M243" s="2">
        <v>111785</v>
      </c>
    </row>
    <row r="244" spans="1:13" ht="12.75" x14ac:dyDescent="0.2">
      <c r="A244" s="16" t="s">
        <v>59</v>
      </c>
      <c r="B244" s="2">
        <v>12853</v>
      </c>
      <c r="C244" s="2">
        <v>3897</v>
      </c>
      <c r="D244" s="2">
        <v>30280</v>
      </c>
      <c r="E244" s="2">
        <v>36096</v>
      </c>
      <c r="F244" s="2">
        <v>181031</v>
      </c>
      <c r="G244" s="2">
        <v>9086</v>
      </c>
      <c r="H244" s="2">
        <v>559609</v>
      </c>
      <c r="I244" s="2">
        <v>14945</v>
      </c>
      <c r="J244" s="2">
        <v>42886</v>
      </c>
      <c r="K244" s="2">
        <v>124239</v>
      </c>
      <c r="L244" s="2">
        <f t="shared" si="2"/>
        <v>1014922</v>
      </c>
      <c r="M244" s="2">
        <v>119322</v>
      </c>
    </row>
    <row r="245" spans="1:13" ht="12.75" x14ac:dyDescent="0.2">
      <c r="A245" s="16" t="s">
        <v>60</v>
      </c>
      <c r="B245" s="2">
        <v>12010</v>
      </c>
      <c r="C245" s="2">
        <v>2776</v>
      </c>
      <c r="D245" s="2">
        <v>29791</v>
      </c>
      <c r="E245" s="2">
        <v>32539</v>
      </c>
      <c r="F245" s="2">
        <v>188613</v>
      </c>
      <c r="G245" s="2">
        <v>12534</v>
      </c>
      <c r="H245" s="2">
        <v>564359</v>
      </c>
      <c r="I245" s="2">
        <v>14178</v>
      </c>
      <c r="J245" s="2">
        <v>42890</v>
      </c>
      <c r="K245" s="2">
        <v>120119</v>
      </c>
      <c r="L245" s="2">
        <f t="shared" si="2"/>
        <v>1019809</v>
      </c>
      <c r="M245" s="2">
        <v>113359</v>
      </c>
    </row>
    <row r="246" spans="1:13" ht="12.75" x14ac:dyDescent="0.2">
      <c r="A246" s="12" t="s">
        <v>48</v>
      </c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ht="12.75" x14ac:dyDescent="0.2">
      <c r="A247" s="16" t="s">
        <v>62</v>
      </c>
      <c r="B247" s="2">
        <v>13365</v>
      </c>
      <c r="C247" s="2">
        <v>3648</v>
      </c>
      <c r="D247" s="2">
        <v>30705</v>
      </c>
      <c r="E247" s="2">
        <v>37506</v>
      </c>
      <c r="F247" s="2">
        <v>211218</v>
      </c>
      <c r="G247" s="2">
        <v>12527</v>
      </c>
      <c r="H247" s="2">
        <v>570685</v>
      </c>
      <c r="I247" s="2">
        <v>15113</v>
      </c>
      <c r="J247" s="2">
        <v>47225</v>
      </c>
      <c r="K247" s="2">
        <v>116010</v>
      </c>
      <c r="L247" s="2">
        <f t="shared" si="2"/>
        <v>1058002</v>
      </c>
      <c r="M247" s="2">
        <v>107728</v>
      </c>
    </row>
    <row r="248" spans="1:13" ht="12.75" x14ac:dyDescent="0.2">
      <c r="A248" s="16" t="s">
        <v>63</v>
      </c>
      <c r="B248" s="2">
        <v>13632</v>
      </c>
      <c r="C248" s="2">
        <v>1937</v>
      </c>
      <c r="D248" s="2">
        <v>31538</v>
      </c>
      <c r="E248" s="2">
        <v>35301</v>
      </c>
      <c r="F248" s="2">
        <v>220485</v>
      </c>
      <c r="G248" s="2">
        <v>14672</v>
      </c>
      <c r="H248" s="2">
        <v>584801</v>
      </c>
      <c r="I248" s="2">
        <v>15189</v>
      </c>
      <c r="J248" s="2">
        <v>45775</v>
      </c>
      <c r="K248" s="2">
        <v>107450</v>
      </c>
      <c r="L248" s="2">
        <f t="shared" si="2"/>
        <v>1070780</v>
      </c>
      <c r="M248" s="2">
        <v>105799</v>
      </c>
    </row>
    <row r="249" spans="1:13" ht="12.75" x14ac:dyDescent="0.2">
      <c r="A249" s="16" t="s">
        <v>64</v>
      </c>
      <c r="B249" s="2">
        <v>13724</v>
      </c>
      <c r="C249" s="2">
        <v>1253</v>
      </c>
      <c r="D249" s="2">
        <v>37313</v>
      </c>
      <c r="E249" s="2">
        <v>40067</v>
      </c>
      <c r="F249" s="2">
        <v>218599</v>
      </c>
      <c r="G249" s="2">
        <v>16040</v>
      </c>
      <c r="H249" s="2">
        <v>589478</v>
      </c>
      <c r="I249" s="2">
        <v>14440</v>
      </c>
      <c r="J249" s="2">
        <v>47535</v>
      </c>
      <c r="K249" s="2">
        <v>104940</v>
      </c>
      <c r="L249" s="2">
        <f t="shared" si="2"/>
        <v>1083389</v>
      </c>
      <c r="M249" s="2">
        <v>104902</v>
      </c>
    </row>
    <row r="250" spans="1:13" ht="12.75" x14ac:dyDescent="0.2">
      <c r="A250" s="16" t="s">
        <v>65</v>
      </c>
      <c r="B250" s="2">
        <v>17374</v>
      </c>
      <c r="C250" s="2">
        <v>1825</v>
      </c>
      <c r="D250" s="2">
        <v>36846</v>
      </c>
      <c r="E250" s="2">
        <v>47926</v>
      </c>
      <c r="F250" s="2">
        <v>224941</v>
      </c>
      <c r="G250" s="2">
        <v>18715</v>
      </c>
      <c r="H250" s="2">
        <v>585797</v>
      </c>
      <c r="I250" s="2">
        <v>11935</v>
      </c>
      <c r="J250" s="2">
        <v>36662</v>
      </c>
      <c r="K250" s="2">
        <v>113785</v>
      </c>
      <c r="L250" s="2">
        <f t="shared" si="2"/>
        <v>1095806</v>
      </c>
      <c r="M250" s="2">
        <v>105673</v>
      </c>
    </row>
    <row r="251" spans="1:13" ht="12.75" x14ac:dyDescent="0.2">
      <c r="A251" s="16" t="s">
        <v>66</v>
      </c>
      <c r="B251" s="2">
        <v>27717</v>
      </c>
      <c r="C251" s="2">
        <v>2124</v>
      </c>
      <c r="D251" s="2">
        <v>35548</v>
      </c>
      <c r="E251" s="2">
        <v>37740</v>
      </c>
      <c r="F251" s="2">
        <v>211977</v>
      </c>
      <c r="G251" s="2">
        <v>15967</v>
      </c>
      <c r="H251" s="2">
        <v>588991</v>
      </c>
      <c r="I251" s="2">
        <v>12645</v>
      </c>
      <c r="J251" s="2">
        <v>45782</v>
      </c>
      <c r="K251" s="2">
        <v>110001</v>
      </c>
      <c r="L251" s="2">
        <f t="shared" si="2"/>
        <v>1088492</v>
      </c>
      <c r="M251" s="2">
        <v>101998</v>
      </c>
    </row>
    <row r="252" spans="1:13" ht="12.75" x14ac:dyDescent="0.2">
      <c r="A252" s="16" t="s">
        <v>67</v>
      </c>
      <c r="B252" s="2">
        <v>23068</v>
      </c>
      <c r="C252" s="2">
        <v>1642</v>
      </c>
      <c r="D252" s="2">
        <v>33970</v>
      </c>
      <c r="E252" s="2">
        <v>41413</v>
      </c>
      <c r="F252" s="2">
        <v>222895</v>
      </c>
      <c r="G252" s="2">
        <v>15465</v>
      </c>
      <c r="H252" s="2">
        <v>590338</v>
      </c>
      <c r="I252" s="2">
        <v>12078</v>
      </c>
      <c r="J252" s="2">
        <v>43931</v>
      </c>
      <c r="K252" s="2">
        <v>105765</v>
      </c>
      <c r="L252" s="2">
        <f t="shared" si="2"/>
        <v>1090565</v>
      </c>
      <c r="M252" s="2">
        <v>102573</v>
      </c>
    </row>
    <row r="253" spans="1:13" ht="12.75" x14ac:dyDescent="0.2">
      <c r="A253" s="16" t="s">
        <v>68</v>
      </c>
      <c r="B253" s="2">
        <v>25370</v>
      </c>
      <c r="C253" s="2">
        <v>1625</v>
      </c>
      <c r="D253" s="2">
        <v>34408</v>
      </c>
      <c r="E253" s="2">
        <v>38750</v>
      </c>
      <c r="F253" s="2">
        <v>221746</v>
      </c>
      <c r="G253" s="2">
        <v>16156</v>
      </c>
      <c r="H253" s="2">
        <v>589482</v>
      </c>
      <c r="I253" s="2">
        <v>11431</v>
      </c>
      <c r="J253" s="2">
        <v>45149</v>
      </c>
      <c r="K253" s="2">
        <v>101321</v>
      </c>
      <c r="L253" s="2">
        <f t="shared" si="2"/>
        <v>1085438</v>
      </c>
      <c r="M253" s="2">
        <v>102118</v>
      </c>
    </row>
    <row r="254" spans="1:13" ht="12.75" x14ac:dyDescent="0.2">
      <c r="A254" s="16" t="s">
        <v>69</v>
      </c>
      <c r="B254" s="2">
        <v>12901</v>
      </c>
      <c r="C254" s="2">
        <v>1134</v>
      </c>
      <c r="D254" s="2">
        <v>39914</v>
      </c>
      <c r="E254" s="2">
        <v>37815</v>
      </c>
      <c r="F254" s="2">
        <v>205604</v>
      </c>
      <c r="G254" s="2">
        <v>15504</v>
      </c>
      <c r="H254" s="2">
        <v>587455</v>
      </c>
      <c r="I254" s="2">
        <v>16496</v>
      </c>
      <c r="J254" s="2">
        <v>45609</v>
      </c>
      <c r="K254" s="2">
        <v>108547</v>
      </c>
      <c r="L254" s="2">
        <f t="shared" si="2"/>
        <v>1070979</v>
      </c>
      <c r="M254" s="2">
        <v>102285</v>
      </c>
    </row>
    <row r="255" spans="1:13" ht="12.75" x14ac:dyDescent="0.2">
      <c r="A255" s="16" t="s">
        <v>72</v>
      </c>
      <c r="B255" s="2">
        <v>9525</v>
      </c>
      <c r="C255" s="2">
        <v>1136</v>
      </c>
      <c r="D255" s="2">
        <v>36730</v>
      </c>
      <c r="E255" s="2">
        <v>33244</v>
      </c>
      <c r="F255" s="2">
        <v>215122</v>
      </c>
      <c r="G255" s="2">
        <v>15930</v>
      </c>
      <c r="H255" s="2">
        <v>589800</v>
      </c>
      <c r="I255" s="2">
        <v>14320</v>
      </c>
      <c r="J255" s="2">
        <v>41465</v>
      </c>
      <c r="K255" s="2">
        <v>106598</v>
      </c>
      <c r="L255" s="2">
        <f t="shared" si="2"/>
        <v>1063870</v>
      </c>
      <c r="M255" s="2">
        <v>103307</v>
      </c>
    </row>
    <row r="256" spans="1:13" ht="12.75" x14ac:dyDescent="0.2">
      <c r="A256" s="16" t="s">
        <v>58</v>
      </c>
      <c r="B256" s="2">
        <v>4696</v>
      </c>
      <c r="C256" s="2">
        <v>1012</v>
      </c>
      <c r="D256" s="2">
        <v>30606</v>
      </c>
      <c r="E256" s="2">
        <v>31433</v>
      </c>
      <c r="F256" s="2">
        <v>240252</v>
      </c>
      <c r="G256" s="2">
        <v>14309</v>
      </c>
      <c r="H256" s="2">
        <v>555989</v>
      </c>
      <c r="I256" s="2">
        <v>15588</v>
      </c>
      <c r="J256" s="2">
        <v>46702</v>
      </c>
      <c r="K256" s="2">
        <v>106966</v>
      </c>
      <c r="L256" s="2">
        <f t="shared" si="2"/>
        <v>1047553</v>
      </c>
      <c r="M256" s="2">
        <v>108043</v>
      </c>
    </row>
    <row r="257" spans="1:13" ht="12.75" x14ac:dyDescent="0.2">
      <c r="A257" s="16" t="s">
        <v>59</v>
      </c>
      <c r="B257" s="2">
        <v>6605</v>
      </c>
      <c r="C257" s="2">
        <v>1032</v>
      </c>
      <c r="D257" s="2">
        <v>23892</v>
      </c>
      <c r="E257" s="2">
        <v>31779</v>
      </c>
      <c r="F257" s="2">
        <v>223710</v>
      </c>
      <c r="G257" s="2">
        <v>16350</v>
      </c>
      <c r="H257" s="2">
        <v>577093</v>
      </c>
      <c r="I257" s="2">
        <v>15380</v>
      </c>
      <c r="J257" s="2">
        <v>48198</v>
      </c>
      <c r="K257" s="2">
        <v>114660</v>
      </c>
      <c r="L257" s="2">
        <f t="shared" si="2"/>
        <v>1058699</v>
      </c>
      <c r="M257" s="2">
        <v>109919</v>
      </c>
    </row>
    <row r="258" spans="1:13" ht="12.75" x14ac:dyDescent="0.2">
      <c r="A258" s="16" t="s">
        <v>60</v>
      </c>
      <c r="B258" s="2">
        <v>5607</v>
      </c>
      <c r="C258" s="2">
        <v>1254</v>
      </c>
      <c r="D258" s="2">
        <v>25228</v>
      </c>
      <c r="E258" s="2">
        <v>32602</v>
      </c>
      <c r="F258" s="2">
        <v>240059</v>
      </c>
      <c r="G258" s="2">
        <v>15925</v>
      </c>
      <c r="H258" s="2">
        <v>563683</v>
      </c>
      <c r="I258" s="2">
        <v>13563</v>
      </c>
      <c r="J258" s="2">
        <v>48534</v>
      </c>
      <c r="K258" s="2">
        <v>116202</v>
      </c>
      <c r="L258" s="2">
        <f t="shared" si="2"/>
        <v>1062657</v>
      </c>
      <c r="M258" s="2">
        <v>109232</v>
      </c>
    </row>
    <row r="259" spans="1:13" ht="12.75" x14ac:dyDescent="0.2">
      <c r="A259" s="13" t="s">
        <v>49</v>
      </c>
      <c r="B259" s="7"/>
      <c r="C259" s="7"/>
      <c r="D259" s="7" t="s">
        <v>14</v>
      </c>
      <c r="E259" s="7" t="s">
        <v>14</v>
      </c>
      <c r="F259" s="7" t="s">
        <v>14</v>
      </c>
      <c r="G259" s="7" t="s">
        <v>14</v>
      </c>
      <c r="H259" s="7" t="s">
        <v>14</v>
      </c>
      <c r="I259" s="7" t="s">
        <v>14</v>
      </c>
      <c r="J259" s="7" t="s">
        <v>14</v>
      </c>
      <c r="K259" s="7" t="s">
        <v>14</v>
      </c>
      <c r="L259" s="7"/>
      <c r="M259" s="7" t="s">
        <v>14</v>
      </c>
    </row>
    <row r="260" spans="1:13" ht="12.75" x14ac:dyDescent="0.2">
      <c r="A260" s="16" t="s">
        <v>62</v>
      </c>
      <c r="B260" s="7">
        <v>2916</v>
      </c>
      <c r="C260" s="7">
        <v>3194</v>
      </c>
      <c r="D260" s="7">
        <v>25158</v>
      </c>
      <c r="E260" s="7">
        <v>40127</v>
      </c>
      <c r="F260" s="7">
        <v>242691</v>
      </c>
      <c r="G260" s="7">
        <v>9570</v>
      </c>
      <c r="H260" s="7">
        <v>567758</v>
      </c>
      <c r="I260" s="7">
        <v>13870</v>
      </c>
      <c r="J260" s="7">
        <v>41241</v>
      </c>
      <c r="K260" s="7">
        <v>121310</v>
      </c>
      <c r="L260" s="2">
        <f t="shared" ref="L260:L271" si="3">SUM(B260:K260)</f>
        <v>1067835</v>
      </c>
      <c r="M260" s="7">
        <v>110282</v>
      </c>
    </row>
    <row r="261" spans="1:13" ht="12.75" x14ac:dyDescent="0.2">
      <c r="A261" s="16" t="s">
        <v>63</v>
      </c>
      <c r="B261" s="7">
        <v>11429</v>
      </c>
      <c r="C261" s="7">
        <v>1983</v>
      </c>
      <c r="D261" s="7">
        <v>26195</v>
      </c>
      <c r="E261" s="7">
        <v>39729</v>
      </c>
      <c r="F261" s="7">
        <v>225807</v>
      </c>
      <c r="G261" s="7">
        <v>8409</v>
      </c>
      <c r="H261" s="7">
        <v>585637</v>
      </c>
      <c r="I261" s="7">
        <v>14510</v>
      </c>
      <c r="J261" s="7">
        <v>42799</v>
      </c>
      <c r="K261" s="7">
        <v>124223</v>
      </c>
      <c r="L261" s="2">
        <f t="shared" si="3"/>
        <v>1080721</v>
      </c>
      <c r="M261" s="7">
        <v>111924</v>
      </c>
    </row>
    <row r="262" spans="1:13" ht="12.75" x14ac:dyDescent="0.2">
      <c r="A262" s="16" t="s">
        <v>64</v>
      </c>
      <c r="B262" s="7">
        <v>7502</v>
      </c>
      <c r="C262" s="7">
        <v>920</v>
      </c>
      <c r="D262" s="7">
        <v>29120</v>
      </c>
      <c r="E262" s="7">
        <v>39709</v>
      </c>
      <c r="F262" s="7">
        <v>215230</v>
      </c>
      <c r="G262" s="7">
        <v>13514</v>
      </c>
      <c r="H262" s="7">
        <v>589704</v>
      </c>
      <c r="I262" s="7">
        <v>13098</v>
      </c>
      <c r="J262" s="7">
        <v>47322</v>
      </c>
      <c r="K262" s="7">
        <v>114042</v>
      </c>
      <c r="L262" s="2">
        <f t="shared" si="3"/>
        <v>1070161</v>
      </c>
      <c r="M262" s="7">
        <v>102432</v>
      </c>
    </row>
    <row r="263" spans="1:13" ht="12.75" x14ac:dyDescent="0.2">
      <c r="A263" s="16" t="s">
        <v>65</v>
      </c>
      <c r="B263" s="7">
        <v>15325</v>
      </c>
      <c r="C263" s="7">
        <v>1173</v>
      </c>
      <c r="D263" s="7">
        <v>33697</v>
      </c>
      <c r="E263" s="7">
        <v>41874</v>
      </c>
      <c r="F263" s="7">
        <v>248565</v>
      </c>
      <c r="G263" s="7">
        <v>13437</v>
      </c>
      <c r="H263" s="7">
        <v>560596</v>
      </c>
      <c r="I263" s="7">
        <v>13790</v>
      </c>
      <c r="J263" s="7">
        <v>42280</v>
      </c>
      <c r="K263" s="7">
        <v>112606</v>
      </c>
      <c r="L263" s="2">
        <f t="shared" si="3"/>
        <v>1083343</v>
      </c>
      <c r="M263" s="7">
        <v>105330</v>
      </c>
    </row>
    <row r="264" spans="1:13" ht="12.75" x14ac:dyDescent="0.2">
      <c r="A264" s="16" t="s">
        <v>66</v>
      </c>
      <c r="B264" s="7">
        <v>22243</v>
      </c>
      <c r="C264" s="7">
        <v>1102</v>
      </c>
      <c r="D264" s="7">
        <v>69728</v>
      </c>
      <c r="E264" s="7">
        <v>44404</v>
      </c>
      <c r="F264" s="7">
        <v>229007</v>
      </c>
      <c r="G264" s="7">
        <v>8220</v>
      </c>
      <c r="H264" s="7">
        <v>583433</v>
      </c>
      <c r="I264" s="7">
        <v>13219</v>
      </c>
      <c r="J264" s="7">
        <v>42934</v>
      </c>
      <c r="K264" s="7">
        <v>108499</v>
      </c>
      <c r="L264" s="2">
        <f t="shared" si="3"/>
        <v>1122789</v>
      </c>
      <c r="M264" s="7">
        <v>101088</v>
      </c>
    </row>
    <row r="265" spans="1:13" ht="12.75" x14ac:dyDescent="0.2">
      <c r="A265" s="16" t="s">
        <v>67</v>
      </c>
      <c r="B265" s="7">
        <v>22723</v>
      </c>
      <c r="C265" s="7">
        <v>1202</v>
      </c>
      <c r="D265" s="7">
        <v>88663</v>
      </c>
      <c r="E265" s="7">
        <v>52269</v>
      </c>
      <c r="F265" s="7">
        <v>213029</v>
      </c>
      <c r="G265" s="7">
        <v>14916</v>
      </c>
      <c r="H265" s="7">
        <v>587072</v>
      </c>
      <c r="I265" s="7">
        <v>12508</v>
      </c>
      <c r="J265" s="7">
        <v>41423</v>
      </c>
      <c r="K265" s="7">
        <v>114539</v>
      </c>
      <c r="L265" s="2">
        <f t="shared" si="3"/>
        <v>1148344</v>
      </c>
      <c r="M265" s="7">
        <v>103963</v>
      </c>
    </row>
    <row r="266" spans="1:13" ht="12.75" x14ac:dyDescent="0.2">
      <c r="A266" s="16" t="s">
        <v>68</v>
      </c>
      <c r="B266" s="7">
        <v>15992</v>
      </c>
      <c r="C266" s="7">
        <v>593</v>
      </c>
      <c r="D266" s="7">
        <v>89494</v>
      </c>
      <c r="E266" s="7">
        <v>52199</v>
      </c>
      <c r="F266" s="7">
        <v>235135</v>
      </c>
      <c r="G266" s="7">
        <v>13994</v>
      </c>
      <c r="H266" s="7">
        <v>584250</v>
      </c>
      <c r="I266" s="7">
        <v>13779</v>
      </c>
      <c r="J266" s="7">
        <v>40592</v>
      </c>
      <c r="K266" s="7">
        <v>106703</v>
      </c>
      <c r="L266" s="2">
        <f t="shared" si="3"/>
        <v>1152731</v>
      </c>
      <c r="M266" s="7">
        <v>99478</v>
      </c>
    </row>
    <row r="267" spans="1:13" ht="12.75" x14ac:dyDescent="0.2">
      <c r="A267" s="16" t="s">
        <v>69</v>
      </c>
      <c r="B267" s="7">
        <v>10465</v>
      </c>
      <c r="C267" s="7">
        <v>538</v>
      </c>
      <c r="D267" s="7">
        <v>84330</v>
      </c>
      <c r="E267" s="7">
        <v>55554</v>
      </c>
      <c r="F267" s="7">
        <v>235047</v>
      </c>
      <c r="G267" s="7">
        <v>13536</v>
      </c>
      <c r="H267" s="7">
        <v>582017</v>
      </c>
      <c r="I267" s="7">
        <v>13838</v>
      </c>
      <c r="J267" s="7">
        <v>49581</v>
      </c>
      <c r="K267" s="7">
        <v>117832</v>
      </c>
      <c r="L267" s="2">
        <f t="shared" si="3"/>
        <v>1162738</v>
      </c>
      <c r="M267" s="7">
        <v>112233</v>
      </c>
    </row>
    <row r="268" spans="1:13" ht="12.75" x14ac:dyDescent="0.2">
      <c r="A268" s="16" t="s">
        <v>72</v>
      </c>
      <c r="B268" s="7">
        <v>10877</v>
      </c>
      <c r="C268" s="7">
        <v>435</v>
      </c>
      <c r="D268" s="7">
        <v>82862</v>
      </c>
      <c r="E268" s="7">
        <v>53146</v>
      </c>
      <c r="F268" s="7">
        <v>238907</v>
      </c>
      <c r="G268" s="7">
        <v>14250</v>
      </c>
      <c r="H268" s="7">
        <v>585625</v>
      </c>
      <c r="I268" s="7">
        <v>13283</v>
      </c>
      <c r="J268" s="7">
        <v>43449</v>
      </c>
      <c r="K268" s="7">
        <v>125777</v>
      </c>
      <c r="L268" s="2">
        <f t="shared" si="3"/>
        <v>1168611</v>
      </c>
      <c r="M268" s="7">
        <v>120553</v>
      </c>
    </row>
    <row r="269" spans="1:13" ht="12.75" x14ac:dyDescent="0.2">
      <c r="A269" s="16" t="s">
        <v>58</v>
      </c>
      <c r="B269" s="2">
        <v>11593</v>
      </c>
      <c r="C269" s="2">
        <v>599</v>
      </c>
      <c r="D269" s="2">
        <v>84850</v>
      </c>
      <c r="E269" s="2">
        <v>58238</v>
      </c>
      <c r="F269" s="2">
        <v>240593</v>
      </c>
      <c r="G269" s="2">
        <v>15204</v>
      </c>
      <c r="H269" s="2">
        <v>594229</v>
      </c>
      <c r="I269" s="2">
        <v>13930</v>
      </c>
      <c r="J269" s="2">
        <v>41890</v>
      </c>
      <c r="K269" s="2">
        <v>122196</v>
      </c>
      <c r="L269" s="2">
        <f t="shared" si="3"/>
        <v>1183322</v>
      </c>
      <c r="M269" s="2">
        <v>120815</v>
      </c>
    </row>
    <row r="270" spans="1:13" ht="12.75" x14ac:dyDescent="0.2">
      <c r="A270" s="16" t="s">
        <v>59</v>
      </c>
      <c r="B270" s="2">
        <v>12296</v>
      </c>
      <c r="C270" s="2">
        <v>573</v>
      </c>
      <c r="D270" s="2">
        <v>83758</v>
      </c>
      <c r="E270" s="2">
        <v>59351</v>
      </c>
      <c r="F270" s="2">
        <v>258974</v>
      </c>
      <c r="G270" s="2">
        <v>14980</v>
      </c>
      <c r="H270" s="2">
        <v>598073</v>
      </c>
      <c r="I270" s="2">
        <v>12893</v>
      </c>
      <c r="J270" s="2">
        <v>44682</v>
      </c>
      <c r="K270" s="2">
        <v>122916</v>
      </c>
      <c r="L270" s="2">
        <f t="shared" si="3"/>
        <v>1208496</v>
      </c>
      <c r="M270" s="2">
        <v>120672</v>
      </c>
    </row>
    <row r="271" spans="1:13" ht="12.75" x14ac:dyDescent="0.2">
      <c r="A271" s="16" t="s">
        <v>60</v>
      </c>
      <c r="B271" s="2">
        <v>11784</v>
      </c>
      <c r="C271" s="2">
        <v>557</v>
      </c>
      <c r="D271" s="2">
        <v>87158</v>
      </c>
      <c r="E271" s="2">
        <v>60665</v>
      </c>
      <c r="F271" s="2">
        <v>231618</v>
      </c>
      <c r="G271" s="2">
        <v>14887</v>
      </c>
      <c r="H271" s="2">
        <v>624078</v>
      </c>
      <c r="I271" s="2">
        <v>13642</v>
      </c>
      <c r="J271" s="2">
        <v>47087</v>
      </c>
      <c r="K271" s="2">
        <v>125392</v>
      </c>
      <c r="L271" s="2">
        <f t="shared" si="3"/>
        <v>1216868</v>
      </c>
      <c r="M271" s="2">
        <v>123887</v>
      </c>
    </row>
    <row r="272" spans="1:13" ht="15" customHeight="1" x14ac:dyDescent="0.2">
      <c r="A272" s="13" t="s">
        <v>50</v>
      </c>
      <c r="B272" s="2"/>
      <c r="C272" s="2"/>
      <c r="D272" s="2" t="s">
        <v>14</v>
      </c>
      <c r="E272" s="2" t="s">
        <v>14</v>
      </c>
      <c r="F272" s="2" t="s">
        <v>14</v>
      </c>
      <c r="G272" s="2" t="s">
        <v>14</v>
      </c>
      <c r="H272" s="2" t="s">
        <v>14</v>
      </c>
      <c r="I272" s="2" t="s">
        <v>14</v>
      </c>
      <c r="J272" s="2" t="s">
        <v>14</v>
      </c>
      <c r="K272" s="2" t="s">
        <v>14</v>
      </c>
      <c r="L272" s="2"/>
      <c r="M272" s="2" t="s">
        <v>14</v>
      </c>
    </row>
    <row r="273" spans="1:13" ht="12.75" x14ac:dyDescent="0.2">
      <c r="A273" s="16" t="s">
        <v>62</v>
      </c>
      <c r="B273" s="2">
        <v>12276</v>
      </c>
      <c r="C273" s="2">
        <v>610</v>
      </c>
      <c r="D273" s="2">
        <v>90830</v>
      </c>
      <c r="E273" s="2">
        <v>65340</v>
      </c>
      <c r="F273" s="2">
        <v>228746</v>
      </c>
      <c r="G273" s="2">
        <v>14630</v>
      </c>
      <c r="H273" s="2">
        <v>636516</v>
      </c>
      <c r="I273" s="2">
        <v>14768</v>
      </c>
      <c r="J273" s="2">
        <v>45788</v>
      </c>
      <c r="K273" s="2">
        <v>127110</v>
      </c>
      <c r="L273" s="2">
        <f t="shared" ref="L273:L310" si="4">SUM(B273:K273)</f>
        <v>1236614</v>
      </c>
      <c r="M273" s="2">
        <v>129548</v>
      </c>
    </row>
    <row r="274" spans="1:13" ht="12.75" x14ac:dyDescent="0.2">
      <c r="A274" s="16" t="s">
        <v>63</v>
      </c>
      <c r="B274" s="2">
        <v>13595</v>
      </c>
      <c r="C274" s="2">
        <v>852</v>
      </c>
      <c r="D274" s="2">
        <v>94735</v>
      </c>
      <c r="E274" s="2">
        <v>65470</v>
      </c>
      <c r="F274" s="2">
        <v>226764</v>
      </c>
      <c r="G274" s="2">
        <v>17164</v>
      </c>
      <c r="H274" s="2">
        <v>638703</v>
      </c>
      <c r="I274" s="2">
        <v>13494</v>
      </c>
      <c r="J274" s="2">
        <v>45925</v>
      </c>
      <c r="K274" s="2">
        <v>126915</v>
      </c>
      <c r="L274" s="2">
        <f t="shared" si="4"/>
        <v>1243617</v>
      </c>
      <c r="M274" s="2">
        <v>128900</v>
      </c>
    </row>
    <row r="275" spans="1:13" ht="12.75" x14ac:dyDescent="0.2">
      <c r="A275" s="16" t="s">
        <v>64</v>
      </c>
      <c r="B275" s="2">
        <v>41795</v>
      </c>
      <c r="C275" s="2">
        <v>924</v>
      </c>
      <c r="D275" s="2">
        <v>100737</v>
      </c>
      <c r="E275" s="2">
        <v>47965</v>
      </c>
      <c r="F275" s="2">
        <v>222812</v>
      </c>
      <c r="G275" s="2">
        <v>33124</v>
      </c>
      <c r="H275" s="2">
        <v>660285</v>
      </c>
      <c r="I275" s="2">
        <v>12706</v>
      </c>
      <c r="J275" s="2">
        <v>43709</v>
      </c>
      <c r="K275" s="2">
        <v>126915</v>
      </c>
      <c r="L275" s="2">
        <f t="shared" si="4"/>
        <v>1290972</v>
      </c>
      <c r="M275" s="2">
        <v>128705</v>
      </c>
    </row>
    <row r="276" spans="1:13" ht="12.75" x14ac:dyDescent="0.2">
      <c r="A276" s="16" t="s">
        <v>65</v>
      </c>
      <c r="B276" s="2">
        <v>13455</v>
      </c>
      <c r="C276" s="2">
        <v>997</v>
      </c>
      <c r="D276" s="2">
        <v>104235</v>
      </c>
      <c r="E276" s="2">
        <v>65946</v>
      </c>
      <c r="F276" s="2">
        <v>247720</v>
      </c>
      <c r="G276" s="2">
        <v>16614</v>
      </c>
      <c r="H276" s="2">
        <v>671457</v>
      </c>
      <c r="I276" s="2">
        <v>13590</v>
      </c>
      <c r="J276" s="2">
        <v>43361</v>
      </c>
      <c r="K276" s="2">
        <v>128173</v>
      </c>
      <c r="L276" s="2">
        <f t="shared" si="4"/>
        <v>1305548</v>
      </c>
      <c r="M276" s="2">
        <v>129329</v>
      </c>
    </row>
    <row r="277" spans="1:13" ht="12.75" x14ac:dyDescent="0.2">
      <c r="A277" s="16" t="s">
        <v>66</v>
      </c>
      <c r="B277" s="2">
        <v>13987</v>
      </c>
      <c r="C277" s="2">
        <v>796</v>
      </c>
      <c r="D277" s="2">
        <v>104273</v>
      </c>
      <c r="E277" s="2">
        <v>58374</v>
      </c>
      <c r="F277" s="2">
        <v>235964</v>
      </c>
      <c r="G277" s="2">
        <v>16559</v>
      </c>
      <c r="H277" s="2">
        <v>671419</v>
      </c>
      <c r="I277" s="2">
        <v>12767</v>
      </c>
      <c r="J277" s="2">
        <v>41627</v>
      </c>
      <c r="K277" s="2">
        <v>128845</v>
      </c>
      <c r="L277" s="2">
        <f t="shared" si="4"/>
        <v>1284611</v>
      </c>
      <c r="M277" s="2">
        <v>130237</v>
      </c>
    </row>
    <row r="278" spans="1:13" ht="12.75" x14ac:dyDescent="0.2">
      <c r="A278" s="16" t="s">
        <v>67</v>
      </c>
      <c r="B278" s="2">
        <v>17339</v>
      </c>
      <c r="C278" s="2">
        <v>1032</v>
      </c>
      <c r="D278" s="2">
        <v>102783</v>
      </c>
      <c r="E278" s="2">
        <v>59630</v>
      </c>
      <c r="F278" s="2">
        <v>246492</v>
      </c>
      <c r="G278" s="2">
        <v>16019</v>
      </c>
      <c r="H278" s="2">
        <v>665467</v>
      </c>
      <c r="I278" s="2">
        <v>13124</v>
      </c>
      <c r="J278" s="2">
        <v>41519</v>
      </c>
      <c r="K278" s="2">
        <v>136281</v>
      </c>
      <c r="L278" s="2">
        <f t="shared" si="4"/>
        <v>1299686</v>
      </c>
      <c r="M278" s="2">
        <v>136605</v>
      </c>
    </row>
    <row r="279" spans="1:13" ht="12.75" x14ac:dyDescent="0.2">
      <c r="A279" s="16" t="s">
        <v>68</v>
      </c>
      <c r="B279" s="2">
        <v>15638</v>
      </c>
      <c r="C279" s="2">
        <v>1027</v>
      </c>
      <c r="D279" s="2">
        <v>104519</v>
      </c>
      <c r="E279" s="2">
        <v>57128</v>
      </c>
      <c r="F279" s="2">
        <v>233259</v>
      </c>
      <c r="G279" s="2">
        <v>16022</v>
      </c>
      <c r="H279" s="2">
        <v>670946</v>
      </c>
      <c r="I279" s="2">
        <v>14815</v>
      </c>
      <c r="J279" s="2">
        <v>40941</v>
      </c>
      <c r="K279" s="2">
        <v>130802</v>
      </c>
      <c r="L279" s="2">
        <f t="shared" si="4"/>
        <v>1285097</v>
      </c>
      <c r="M279" s="2">
        <v>130433</v>
      </c>
    </row>
    <row r="280" spans="1:13" ht="12.75" x14ac:dyDescent="0.2">
      <c r="A280" s="16" t="s">
        <v>69</v>
      </c>
      <c r="B280" s="2">
        <v>16042</v>
      </c>
      <c r="C280" s="2">
        <v>1082</v>
      </c>
      <c r="D280" s="2">
        <v>102102</v>
      </c>
      <c r="E280" s="2">
        <v>57491</v>
      </c>
      <c r="F280" s="2">
        <v>234725</v>
      </c>
      <c r="G280" s="2">
        <v>15359</v>
      </c>
      <c r="H280" s="2">
        <v>661046</v>
      </c>
      <c r="I280" s="2">
        <v>13500</v>
      </c>
      <c r="J280" s="2">
        <v>39992</v>
      </c>
      <c r="K280" s="2">
        <v>145263</v>
      </c>
      <c r="L280" s="2">
        <f t="shared" si="4"/>
        <v>1286602</v>
      </c>
      <c r="M280" s="2">
        <v>142435</v>
      </c>
    </row>
    <row r="281" spans="1:13" ht="12.75" x14ac:dyDescent="0.2">
      <c r="A281" s="16" t="s">
        <v>72</v>
      </c>
      <c r="B281" s="2">
        <v>15811</v>
      </c>
      <c r="C281" s="2">
        <v>513</v>
      </c>
      <c r="D281" s="2">
        <v>101940</v>
      </c>
      <c r="E281" s="2">
        <v>54112</v>
      </c>
      <c r="F281" s="2">
        <v>261428</v>
      </c>
      <c r="G281" s="2">
        <v>15752</v>
      </c>
      <c r="H281" s="2">
        <v>642769</v>
      </c>
      <c r="I281" s="2">
        <v>13509</v>
      </c>
      <c r="J281" s="2">
        <v>38884</v>
      </c>
      <c r="K281" s="2">
        <v>139194</v>
      </c>
      <c r="L281" s="2">
        <f t="shared" si="4"/>
        <v>1283912</v>
      </c>
      <c r="M281" s="2">
        <v>135603</v>
      </c>
    </row>
    <row r="282" spans="1:13" ht="12.75" x14ac:dyDescent="0.2">
      <c r="A282" s="16" t="s">
        <v>58</v>
      </c>
      <c r="B282" s="2">
        <v>16548</v>
      </c>
      <c r="C282" s="2">
        <v>633</v>
      </c>
      <c r="D282" s="2">
        <v>101355</v>
      </c>
      <c r="E282" s="2">
        <v>55054</v>
      </c>
      <c r="F282" s="2">
        <v>242723</v>
      </c>
      <c r="G282" s="2">
        <v>15304</v>
      </c>
      <c r="H282" s="2">
        <v>665841</v>
      </c>
      <c r="I282" s="2">
        <v>13684</v>
      </c>
      <c r="J282" s="2">
        <v>36942</v>
      </c>
      <c r="K282" s="2">
        <v>141714</v>
      </c>
      <c r="L282" s="2">
        <f t="shared" si="4"/>
        <v>1289798</v>
      </c>
      <c r="M282" s="2">
        <v>141402</v>
      </c>
    </row>
    <row r="283" spans="1:13" ht="12.75" x14ac:dyDescent="0.2">
      <c r="A283" s="16" t="s">
        <v>59</v>
      </c>
      <c r="B283" s="2">
        <v>18244</v>
      </c>
      <c r="C283" s="2">
        <v>585</v>
      </c>
      <c r="D283" s="2">
        <v>96125</v>
      </c>
      <c r="E283" s="2">
        <v>53770</v>
      </c>
      <c r="F283" s="2">
        <v>246399</v>
      </c>
      <c r="G283" s="2">
        <v>15964</v>
      </c>
      <c r="H283" s="2">
        <v>676865</v>
      </c>
      <c r="I283" s="2">
        <v>12956</v>
      </c>
      <c r="J283" s="2">
        <v>40903</v>
      </c>
      <c r="K283" s="2">
        <v>138566</v>
      </c>
      <c r="L283" s="2">
        <f t="shared" si="4"/>
        <v>1300377</v>
      </c>
      <c r="M283" s="2">
        <v>136923</v>
      </c>
    </row>
    <row r="284" spans="1:13" ht="12.75" x14ac:dyDescent="0.2">
      <c r="A284" s="16" t="s">
        <v>60</v>
      </c>
      <c r="B284" s="2">
        <v>17607</v>
      </c>
      <c r="C284" s="2">
        <v>781</v>
      </c>
      <c r="D284" s="2">
        <v>94674</v>
      </c>
      <c r="E284" s="2">
        <v>54801</v>
      </c>
      <c r="F284" s="2">
        <v>250223</v>
      </c>
      <c r="G284" s="2">
        <v>16159</v>
      </c>
      <c r="H284" s="2">
        <v>681214</v>
      </c>
      <c r="I284" s="2">
        <v>14968</v>
      </c>
      <c r="J284" s="2">
        <v>39041</v>
      </c>
      <c r="K284" s="2">
        <v>135155</v>
      </c>
      <c r="L284" s="2">
        <f t="shared" si="4"/>
        <v>1304623</v>
      </c>
      <c r="M284" s="2">
        <v>134841</v>
      </c>
    </row>
    <row r="285" spans="1:13" ht="12.75" x14ac:dyDescent="0.2">
      <c r="A285" s="14" t="s">
        <v>51</v>
      </c>
      <c r="B285" s="2"/>
      <c r="C285" s="2"/>
      <c r="D285" s="2" t="s">
        <v>14</v>
      </c>
      <c r="E285" s="2" t="s">
        <v>14</v>
      </c>
      <c r="F285" s="2" t="s">
        <v>14</v>
      </c>
      <c r="G285" s="2" t="s">
        <v>14</v>
      </c>
      <c r="H285" s="2" t="s">
        <v>14</v>
      </c>
      <c r="I285" s="2" t="s">
        <v>14</v>
      </c>
      <c r="J285" s="2" t="s">
        <v>14</v>
      </c>
      <c r="K285" s="2" t="s">
        <v>14</v>
      </c>
      <c r="L285" s="2"/>
      <c r="M285" s="2" t="s">
        <v>14</v>
      </c>
    </row>
    <row r="286" spans="1:13" ht="12.75" x14ac:dyDescent="0.2">
      <c r="A286" s="16" t="s">
        <v>62</v>
      </c>
      <c r="B286" s="2">
        <v>20492</v>
      </c>
      <c r="C286" s="2">
        <v>775</v>
      </c>
      <c r="D286" s="2">
        <v>100965</v>
      </c>
      <c r="E286" s="2">
        <v>44571</v>
      </c>
      <c r="F286" s="2">
        <v>288284</v>
      </c>
      <c r="G286" s="2">
        <v>30921</v>
      </c>
      <c r="H286" s="2">
        <v>614284</v>
      </c>
      <c r="I286" s="2">
        <v>15016</v>
      </c>
      <c r="J286" s="2">
        <v>38224</v>
      </c>
      <c r="K286" s="2">
        <v>55332</v>
      </c>
      <c r="L286" s="2">
        <f t="shared" si="4"/>
        <v>1208864</v>
      </c>
      <c r="M286" s="2">
        <v>33434</v>
      </c>
    </row>
    <row r="287" spans="1:13" ht="12.75" x14ac:dyDescent="0.2">
      <c r="A287" s="16" t="s">
        <v>63</v>
      </c>
      <c r="B287" s="2">
        <v>20417</v>
      </c>
      <c r="C287" s="2">
        <v>560</v>
      </c>
      <c r="D287" s="2">
        <v>102066</v>
      </c>
      <c r="E287" s="2">
        <v>30732</v>
      </c>
      <c r="F287" s="2">
        <v>311893</v>
      </c>
      <c r="G287" s="2">
        <v>47533</v>
      </c>
      <c r="H287" s="2">
        <v>605193</v>
      </c>
      <c r="I287" s="2">
        <v>12459</v>
      </c>
      <c r="J287" s="2">
        <v>37341</v>
      </c>
      <c r="K287" s="2">
        <v>56101</v>
      </c>
      <c r="L287" s="2">
        <f t="shared" si="4"/>
        <v>1224295</v>
      </c>
      <c r="M287" s="2">
        <v>33521</v>
      </c>
    </row>
    <row r="288" spans="1:13" ht="12.75" x14ac:dyDescent="0.2">
      <c r="A288" s="16" t="s">
        <v>64</v>
      </c>
      <c r="B288" s="2">
        <v>13509</v>
      </c>
      <c r="C288" s="2">
        <v>794</v>
      </c>
      <c r="D288" s="2">
        <v>104371</v>
      </c>
      <c r="E288" s="2">
        <v>26774</v>
      </c>
      <c r="F288" s="2">
        <v>323469</v>
      </c>
      <c r="G288" s="2">
        <v>57060</v>
      </c>
      <c r="H288" s="2">
        <v>604772</v>
      </c>
      <c r="I288" s="2">
        <v>15308</v>
      </c>
      <c r="J288" s="2">
        <v>41398</v>
      </c>
      <c r="K288" s="2">
        <v>55330</v>
      </c>
      <c r="L288" s="2">
        <f t="shared" si="4"/>
        <v>1242785</v>
      </c>
      <c r="M288" s="2">
        <v>35063</v>
      </c>
    </row>
    <row r="289" spans="1:13" ht="12.75" x14ac:dyDescent="0.2">
      <c r="A289" s="16" t="s">
        <v>65</v>
      </c>
      <c r="B289" s="2">
        <v>16449</v>
      </c>
      <c r="C289" s="2">
        <v>1392</v>
      </c>
      <c r="D289" s="2">
        <v>108716</v>
      </c>
      <c r="E289" s="2">
        <v>26968</v>
      </c>
      <c r="F289" s="2">
        <v>304316</v>
      </c>
      <c r="G289" s="2">
        <v>56794</v>
      </c>
      <c r="H289" s="2">
        <v>642194</v>
      </c>
      <c r="I289" s="2">
        <v>15999</v>
      </c>
      <c r="J289" s="2">
        <v>42255</v>
      </c>
      <c r="K289" s="2">
        <v>54467</v>
      </c>
      <c r="L289" s="2">
        <f t="shared" si="4"/>
        <v>1269550</v>
      </c>
      <c r="M289" s="2">
        <v>33755</v>
      </c>
    </row>
    <row r="290" spans="1:13" ht="12.75" x14ac:dyDescent="0.2">
      <c r="A290" s="16" t="s">
        <v>66</v>
      </c>
      <c r="B290" s="2">
        <v>16853</v>
      </c>
      <c r="C290" s="2">
        <v>1698</v>
      </c>
      <c r="D290" s="2">
        <v>109084</v>
      </c>
      <c r="E290" s="2">
        <v>29222</v>
      </c>
      <c r="F290" s="2">
        <v>311952</v>
      </c>
      <c r="G290" s="2">
        <v>56345</v>
      </c>
      <c r="H290" s="2">
        <v>648155</v>
      </c>
      <c r="I290" s="2">
        <v>15145</v>
      </c>
      <c r="J290" s="2">
        <v>43940</v>
      </c>
      <c r="K290" s="2">
        <v>54853</v>
      </c>
      <c r="L290" s="2">
        <f t="shared" si="4"/>
        <v>1287247</v>
      </c>
      <c r="M290" s="2">
        <v>34175</v>
      </c>
    </row>
    <row r="291" spans="1:13" ht="12.75" x14ac:dyDescent="0.2">
      <c r="A291" s="16" t="s">
        <v>67</v>
      </c>
      <c r="B291" s="2">
        <v>16912</v>
      </c>
      <c r="C291" s="2">
        <v>2878</v>
      </c>
      <c r="D291" s="2">
        <v>90995</v>
      </c>
      <c r="E291" s="2">
        <v>27231</v>
      </c>
      <c r="F291" s="2">
        <v>318349</v>
      </c>
      <c r="G291" s="2">
        <v>57396</v>
      </c>
      <c r="H291" s="2">
        <v>653332</v>
      </c>
      <c r="I291" s="2">
        <v>15478</v>
      </c>
      <c r="J291" s="2">
        <v>57276</v>
      </c>
      <c r="K291" s="2">
        <v>57663</v>
      </c>
      <c r="L291" s="2">
        <f t="shared" si="4"/>
        <v>1297510</v>
      </c>
      <c r="M291" s="2">
        <v>34539</v>
      </c>
    </row>
    <row r="292" spans="1:13" ht="12.75" x14ac:dyDescent="0.2">
      <c r="A292" s="16" t="s">
        <v>68</v>
      </c>
      <c r="B292" s="2">
        <v>15404</v>
      </c>
      <c r="C292" s="2">
        <v>2037</v>
      </c>
      <c r="D292" s="2">
        <v>92440</v>
      </c>
      <c r="E292" s="2">
        <v>29469</v>
      </c>
      <c r="F292" s="2">
        <v>321742</v>
      </c>
      <c r="G292" s="2">
        <v>57525</v>
      </c>
      <c r="H292" s="2">
        <v>660968</v>
      </c>
      <c r="I292" s="2">
        <v>15328</v>
      </c>
      <c r="J292" s="2">
        <v>65206</v>
      </c>
      <c r="K292" s="2">
        <v>55739</v>
      </c>
      <c r="L292" s="2">
        <f t="shared" si="4"/>
        <v>1315858</v>
      </c>
      <c r="M292" s="2">
        <v>33035</v>
      </c>
    </row>
    <row r="293" spans="1:13" ht="12.75" x14ac:dyDescent="0.2">
      <c r="A293" s="16" t="s">
        <v>69</v>
      </c>
      <c r="B293" s="2">
        <v>15205</v>
      </c>
      <c r="C293" s="2">
        <v>2095</v>
      </c>
      <c r="D293" s="2">
        <v>97942</v>
      </c>
      <c r="E293" s="2">
        <v>32988</v>
      </c>
      <c r="F293" s="2">
        <v>323737</v>
      </c>
      <c r="G293" s="2">
        <v>58613</v>
      </c>
      <c r="H293" s="2">
        <v>663562</v>
      </c>
      <c r="I293" s="2">
        <v>15040</v>
      </c>
      <c r="J293" s="2">
        <v>82667</v>
      </c>
      <c r="K293" s="2">
        <v>54477</v>
      </c>
      <c r="L293" s="2">
        <f t="shared" si="4"/>
        <v>1346326</v>
      </c>
      <c r="M293" s="2">
        <v>32866</v>
      </c>
    </row>
    <row r="294" spans="1:13" ht="12.75" x14ac:dyDescent="0.2">
      <c r="A294" s="16" t="s">
        <v>72</v>
      </c>
      <c r="B294" s="2">
        <v>19997</v>
      </c>
      <c r="C294" s="2">
        <v>1440</v>
      </c>
      <c r="D294" s="2">
        <v>96292</v>
      </c>
      <c r="E294" s="2">
        <v>39286</v>
      </c>
      <c r="F294" s="2">
        <v>307171</v>
      </c>
      <c r="G294" s="2">
        <v>58775</v>
      </c>
      <c r="H294" s="2">
        <v>670722</v>
      </c>
      <c r="I294" s="2">
        <v>15796</v>
      </c>
      <c r="J294" s="2">
        <v>81693</v>
      </c>
      <c r="K294" s="2">
        <v>56540</v>
      </c>
      <c r="L294" s="2">
        <f t="shared" si="4"/>
        <v>1347712</v>
      </c>
      <c r="M294" s="2">
        <v>32791</v>
      </c>
    </row>
    <row r="295" spans="1:13" ht="12.75" x14ac:dyDescent="0.2">
      <c r="A295" s="16" t="s">
        <v>58</v>
      </c>
      <c r="B295" s="2">
        <v>16806</v>
      </c>
      <c r="C295" s="2">
        <v>1328</v>
      </c>
      <c r="D295" s="2">
        <v>93689</v>
      </c>
      <c r="E295" s="2">
        <f>36230+423</f>
        <v>36653</v>
      </c>
      <c r="F295" s="2">
        <f>259629+54104</f>
        <v>313733</v>
      </c>
      <c r="G295" s="2">
        <f>60242+656</f>
        <v>60898</v>
      </c>
      <c r="H295" s="2">
        <f>666044+2140</f>
        <v>668184</v>
      </c>
      <c r="I295" s="2">
        <f>15594+14</f>
        <v>15608</v>
      </c>
      <c r="J295" s="2">
        <f>79313+3580</f>
        <v>82893</v>
      </c>
      <c r="K295" s="2">
        <f>26644+27628+1673</f>
        <v>55945</v>
      </c>
      <c r="L295" s="2">
        <f t="shared" si="4"/>
        <v>1345737</v>
      </c>
      <c r="M295" s="2">
        <v>27628</v>
      </c>
    </row>
    <row r="296" spans="1:13" ht="12.75" x14ac:dyDescent="0.2">
      <c r="A296" s="16" t="s">
        <v>59</v>
      </c>
      <c r="B296" s="2">
        <v>19640</v>
      </c>
      <c r="C296" s="2">
        <v>1845</v>
      </c>
      <c r="D296" s="2">
        <v>94085</v>
      </c>
      <c r="E296" s="2">
        <f>36787+341</f>
        <v>37128</v>
      </c>
      <c r="F296" s="2">
        <f>253273+57668</f>
        <v>310941</v>
      </c>
      <c r="G296" s="2">
        <f>61175+644</f>
        <v>61819</v>
      </c>
      <c r="H296" s="2">
        <f>681238+3389</f>
        <v>684627</v>
      </c>
      <c r="I296" s="2">
        <f>15482+44</f>
        <v>15526</v>
      </c>
      <c r="J296" s="2">
        <f>80875+5271</f>
        <v>86146</v>
      </c>
      <c r="K296" s="2">
        <f>28425+28805+2005</f>
        <v>59235</v>
      </c>
      <c r="L296" s="2">
        <f t="shared" si="4"/>
        <v>1370992</v>
      </c>
      <c r="M296" s="2">
        <v>28425</v>
      </c>
    </row>
    <row r="297" spans="1:13" ht="12.75" x14ac:dyDescent="0.2">
      <c r="A297" s="16" t="s">
        <v>60</v>
      </c>
      <c r="B297" s="2">
        <v>19898</v>
      </c>
      <c r="C297" s="2">
        <v>1995</v>
      </c>
      <c r="D297" s="2">
        <v>96520</v>
      </c>
      <c r="E297" s="2">
        <f>38281+334</f>
        <v>38615</v>
      </c>
      <c r="F297" s="2">
        <f>254820+58997</f>
        <v>313817</v>
      </c>
      <c r="G297" s="2">
        <f>63457+675</f>
        <v>64132</v>
      </c>
      <c r="H297" s="2">
        <f>689441+2371</f>
        <v>691812</v>
      </c>
      <c r="I297" s="2">
        <f>15186+29</f>
        <v>15215</v>
      </c>
      <c r="J297" s="2">
        <f>84584+4006</f>
        <v>88590</v>
      </c>
      <c r="K297" s="2">
        <f>27294+28130+1875</f>
        <v>57299</v>
      </c>
      <c r="L297" s="2">
        <f t="shared" si="4"/>
        <v>1387893</v>
      </c>
      <c r="M297" s="2">
        <v>28130</v>
      </c>
    </row>
    <row r="298" spans="1:13" ht="12.75" x14ac:dyDescent="0.2">
      <c r="A298" s="15">
        <v>2007</v>
      </c>
      <c r="B298" s="2"/>
      <c r="C298" s="2"/>
      <c r="D298" s="2" t="s">
        <v>14</v>
      </c>
      <c r="E298" s="2" t="s">
        <v>14</v>
      </c>
      <c r="F298" s="2" t="s">
        <v>14</v>
      </c>
      <c r="G298" s="2" t="s">
        <v>14</v>
      </c>
      <c r="H298" s="2" t="s">
        <v>14</v>
      </c>
      <c r="I298" s="2" t="s">
        <v>14</v>
      </c>
      <c r="J298" s="2" t="s">
        <v>14</v>
      </c>
      <c r="K298" s="2" t="s">
        <v>14</v>
      </c>
      <c r="L298" s="2" t="s">
        <v>14</v>
      </c>
      <c r="M298" s="2" t="s">
        <v>14</v>
      </c>
    </row>
    <row r="299" spans="1:13" ht="12.75" x14ac:dyDescent="0.2">
      <c r="A299" s="16" t="s">
        <v>62</v>
      </c>
      <c r="B299" s="2">
        <v>21137</v>
      </c>
      <c r="C299" s="2">
        <v>2313</v>
      </c>
      <c r="D299" s="2">
        <v>88217</v>
      </c>
      <c r="E299" s="2">
        <v>47665</v>
      </c>
      <c r="F299" s="2">
        <v>311727</v>
      </c>
      <c r="G299" s="2">
        <v>67287</v>
      </c>
      <c r="H299" s="2">
        <v>697242</v>
      </c>
      <c r="I299" s="2">
        <v>17507</v>
      </c>
      <c r="J299" s="2">
        <v>96972</v>
      </c>
      <c r="K299" s="2">
        <v>57426</v>
      </c>
      <c r="L299" s="2">
        <f t="shared" si="4"/>
        <v>1407493</v>
      </c>
      <c r="M299" s="2">
        <v>28610</v>
      </c>
    </row>
    <row r="300" spans="1:13" ht="12.75" x14ac:dyDescent="0.2">
      <c r="A300" s="16" t="s">
        <v>63</v>
      </c>
      <c r="B300" s="2">
        <v>16513</v>
      </c>
      <c r="C300" s="2">
        <v>3584</v>
      </c>
      <c r="D300" s="2">
        <v>97287</v>
      </c>
      <c r="E300" s="2">
        <v>47996</v>
      </c>
      <c r="F300" s="2">
        <v>318153</v>
      </c>
      <c r="G300" s="2">
        <v>69675</v>
      </c>
      <c r="H300" s="2">
        <v>703978</v>
      </c>
      <c r="I300" s="2">
        <v>17361</v>
      </c>
      <c r="J300" s="2">
        <v>96918</v>
      </c>
      <c r="K300" s="2">
        <v>57008</v>
      </c>
      <c r="L300" s="2">
        <f t="shared" si="4"/>
        <v>1428473</v>
      </c>
      <c r="M300" s="2">
        <v>27990</v>
      </c>
    </row>
    <row r="301" spans="1:13" ht="12.75" x14ac:dyDescent="0.2">
      <c r="A301" s="16" t="s">
        <v>64</v>
      </c>
      <c r="B301" s="2">
        <v>19209</v>
      </c>
      <c r="C301" s="2">
        <v>1998</v>
      </c>
      <c r="D301" s="2">
        <v>99625</v>
      </c>
      <c r="E301" s="2">
        <v>51036</v>
      </c>
      <c r="F301" s="2">
        <v>342840</v>
      </c>
      <c r="G301" s="2">
        <v>68838</v>
      </c>
      <c r="H301" s="2">
        <v>719309</v>
      </c>
      <c r="I301" s="2">
        <v>18010</v>
      </c>
      <c r="J301" s="2">
        <v>98933</v>
      </c>
      <c r="K301" s="2">
        <v>60542</v>
      </c>
      <c r="L301" s="2">
        <f t="shared" si="4"/>
        <v>1480340</v>
      </c>
      <c r="M301" s="2">
        <v>28948</v>
      </c>
    </row>
    <row r="302" spans="1:13" ht="12.75" x14ac:dyDescent="0.2">
      <c r="A302" s="16" t="s">
        <v>65</v>
      </c>
      <c r="B302" s="2">
        <v>16979</v>
      </c>
      <c r="C302" s="2">
        <v>5378</v>
      </c>
      <c r="D302" s="2">
        <v>100662</v>
      </c>
      <c r="E302" s="2">
        <v>54603</v>
      </c>
      <c r="F302" s="2">
        <v>346117</v>
      </c>
      <c r="G302" s="2">
        <v>67407</v>
      </c>
      <c r="H302" s="2">
        <v>733932</v>
      </c>
      <c r="I302" s="2">
        <v>18427</v>
      </c>
      <c r="J302" s="2">
        <v>97306</v>
      </c>
      <c r="K302" s="2">
        <v>62509</v>
      </c>
      <c r="L302" s="2">
        <f t="shared" si="4"/>
        <v>1503320</v>
      </c>
      <c r="M302" s="2">
        <v>29185</v>
      </c>
    </row>
    <row r="303" spans="1:13" ht="12.75" x14ac:dyDescent="0.2">
      <c r="A303" s="16" t="s">
        <v>66</v>
      </c>
      <c r="B303" s="2">
        <v>20489</v>
      </c>
      <c r="C303" s="2">
        <v>2088</v>
      </c>
      <c r="D303" s="2">
        <v>109859</v>
      </c>
      <c r="E303" s="2">
        <v>54804</v>
      </c>
      <c r="F303" s="2">
        <v>345682</v>
      </c>
      <c r="G303" s="2">
        <v>66055</v>
      </c>
      <c r="H303" s="2">
        <v>740900</v>
      </c>
      <c r="I303" s="2">
        <v>17156</v>
      </c>
      <c r="J303" s="2">
        <v>101543</v>
      </c>
      <c r="K303" s="2">
        <v>62882</v>
      </c>
      <c r="L303" s="2">
        <f t="shared" si="4"/>
        <v>1521458</v>
      </c>
      <c r="M303" s="2">
        <v>29961</v>
      </c>
    </row>
    <row r="304" spans="1:13" ht="12.75" x14ac:dyDescent="0.2">
      <c r="A304" s="16" t="s">
        <v>67</v>
      </c>
      <c r="B304" s="2">
        <v>18358</v>
      </c>
      <c r="C304" s="2">
        <v>1613</v>
      </c>
      <c r="D304" s="2">
        <v>115164</v>
      </c>
      <c r="E304" s="2">
        <v>51398</v>
      </c>
      <c r="F304" s="2">
        <v>340550</v>
      </c>
      <c r="G304" s="2">
        <v>68936</v>
      </c>
      <c r="H304" s="2">
        <v>750216</v>
      </c>
      <c r="I304" s="2">
        <v>17633</v>
      </c>
      <c r="J304" s="2">
        <v>95547</v>
      </c>
      <c r="K304" s="2">
        <v>70081</v>
      </c>
      <c r="L304" s="2">
        <f t="shared" si="4"/>
        <v>1529496</v>
      </c>
      <c r="M304" s="2">
        <v>30568</v>
      </c>
    </row>
    <row r="305" spans="1:13" ht="12.75" x14ac:dyDescent="0.2">
      <c r="A305" s="16" t="s">
        <v>68</v>
      </c>
      <c r="B305" s="2">
        <v>18387</v>
      </c>
      <c r="C305" s="2">
        <v>1202</v>
      </c>
      <c r="D305" s="2">
        <v>113801</v>
      </c>
      <c r="E305" s="2">
        <v>59168</v>
      </c>
      <c r="F305" s="2">
        <v>345761</v>
      </c>
      <c r="G305" s="2">
        <v>72282</v>
      </c>
      <c r="H305" s="2">
        <v>765357</v>
      </c>
      <c r="I305" s="2">
        <v>16561</v>
      </c>
      <c r="J305" s="2">
        <v>57596</v>
      </c>
      <c r="K305" s="2">
        <v>60538</v>
      </c>
      <c r="L305" s="2">
        <f t="shared" si="4"/>
        <v>1510653</v>
      </c>
      <c r="M305" s="2">
        <v>29245</v>
      </c>
    </row>
    <row r="306" spans="1:13" ht="12.75" x14ac:dyDescent="0.2">
      <c r="A306" s="16" t="s">
        <v>69</v>
      </c>
      <c r="B306" s="2">
        <v>15122</v>
      </c>
      <c r="C306" s="2">
        <v>1290</v>
      </c>
      <c r="D306" s="2">
        <v>114774</v>
      </c>
      <c r="E306" s="2">
        <v>59523</v>
      </c>
      <c r="F306" s="2">
        <v>342061</v>
      </c>
      <c r="G306" s="2">
        <v>71862</v>
      </c>
      <c r="H306" s="2">
        <v>773526</v>
      </c>
      <c r="I306" s="2">
        <v>16768</v>
      </c>
      <c r="J306" s="2">
        <v>70649</v>
      </c>
      <c r="K306" s="2">
        <v>62267</v>
      </c>
      <c r="L306" s="2">
        <f t="shared" si="4"/>
        <v>1527842</v>
      </c>
      <c r="M306" s="2">
        <v>29360</v>
      </c>
    </row>
    <row r="307" spans="1:13" ht="12.75" x14ac:dyDescent="0.2">
      <c r="A307" s="16" t="s">
        <v>72</v>
      </c>
      <c r="B307" s="2">
        <v>16613</v>
      </c>
      <c r="C307" s="2">
        <v>945</v>
      </c>
      <c r="D307" s="2">
        <v>116028</v>
      </c>
      <c r="E307" s="2">
        <v>72141</v>
      </c>
      <c r="F307" s="2">
        <v>333189</v>
      </c>
      <c r="G307" s="2">
        <v>58193</v>
      </c>
      <c r="H307" s="2">
        <v>783204</v>
      </c>
      <c r="I307" s="2">
        <v>17409</v>
      </c>
      <c r="J307" s="2">
        <v>72515</v>
      </c>
      <c r="K307" s="2">
        <v>62880</v>
      </c>
      <c r="L307" s="2">
        <f t="shared" si="4"/>
        <v>1533117</v>
      </c>
      <c r="M307" s="2">
        <v>29454</v>
      </c>
    </row>
    <row r="308" spans="1:13" ht="12.75" x14ac:dyDescent="0.2">
      <c r="A308" s="16" t="s">
        <v>58</v>
      </c>
      <c r="B308" s="2">
        <v>18534</v>
      </c>
      <c r="C308" s="2">
        <v>824</v>
      </c>
      <c r="D308" s="2">
        <v>119591</v>
      </c>
      <c r="E308" s="2">
        <v>72667</v>
      </c>
      <c r="F308" s="2">
        <v>334853</v>
      </c>
      <c r="G308" s="2">
        <v>59444</v>
      </c>
      <c r="H308" s="2">
        <v>785032</v>
      </c>
      <c r="I308" s="2">
        <v>15875</v>
      </c>
      <c r="J308" s="2">
        <v>78476</v>
      </c>
      <c r="K308" s="2">
        <v>63762</v>
      </c>
      <c r="L308" s="2">
        <f t="shared" si="4"/>
        <v>1549058</v>
      </c>
      <c r="M308" s="2">
        <v>29606</v>
      </c>
    </row>
    <row r="309" spans="1:13" ht="12.75" x14ac:dyDescent="0.2">
      <c r="A309" s="16" t="s">
        <v>59</v>
      </c>
      <c r="B309" s="2">
        <v>20782</v>
      </c>
      <c r="C309" s="2">
        <v>1073</v>
      </c>
      <c r="D309" s="2">
        <v>123352</v>
      </c>
      <c r="E309" s="2">
        <f>58010+291</f>
        <v>58301</v>
      </c>
      <c r="F309" s="2">
        <f>287596+57583</f>
        <v>345179</v>
      </c>
      <c r="G309" s="2">
        <f>72460+637</f>
        <v>73097</v>
      </c>
      <c r="H309" s="2">
        <f>786171+3344</f>
        <v>789515</v>
      </c>
      <c r="I309" s="2">
        <f>15800+3</f>
        <v>15803</v>
      </c>
      <c r="J309" s="2">
        <f>74407+6763</f>
        <v>81170</v>
      </c>
      <c r="K309" s="2">
        <f>33750+36430+1882</f>
        <v>72062</v>
      </c>
      <c r="L309" s="2">
        <f t="shared" si="4"/>
        <v>1580334</v>
      </c>
      <c r="M309" s="2">
        <v>36430</v>
      </c>
    </row>
    <row r="310" spans="1:13" ht="12.75" x14ac:dyDescent="0.2">
      <c r="A310" s="16" t="s">
        <v>60</v>
      </c>
      <c r="B310" s="2">
        <v>18210</v>
      </c>
      <c r="C310" s="2">
        <v>990</v>
      </c>
      <c r="D310" s="2">
        <v>116487</v>
      </c>
      <c r="E310" s="2">
        <v>58902</v>
      </c>
      <c r="F310" s="2">
        <v>365270</v>
      </c>
      <c r="G310" s="2">
        <v>77105</v>
      </c>
      <c r="H310" s="2">
        <v>799140</v>
      </c>
      <c r="I310" s="2">
        <v>14954</v>
      </c>
      <c r="J310" s="2">
        <v>81849</v>
      </c>
      <c r="K310" s="2">
        <v>67965</v>
      </c>
      <c r="L310" s="2">
        <f t="shared" si="4"/>
        <v>1600872</v>
      </c>
      <c r="M310" s="2">
        <v>35309</v>
      </c>
    </row>
    <row r="311" spans="1:13" ht="15" customHeight="1" x14ac:dyDescent="0.2">
      <c r="A311" s="15">
        <v>2008</v>
      </c>
      <c r="B311" s="2"/>
      <c r="C311" s="2"/>
      <c r="D311" s="2" t="s">
        <v>14</v>
      </c>
      <c r="E311" s="2" t="s">
        <v>14</v>
      </c>
      <c r="F311" s="2" t="s">
        <v>14</v>
      </c>
      <c r="G311" s="2" t="s">
        <v>14</v>
      </c>
      <c r="H311" s="2" t="s">
        <v>14</v>
      </c>
      <c r="I311" s="2" t="s">
        <v>14</v>
      </c>
      <c r="J311" s="2" t="s">
        <v>14</v>
      </c>
      <c r="K311" s="2" t="s">
        <v>14</v>
      </c>
      <c r="L311" s="2"/>
      <c r="M311" s="2" t="s">
        <v>14</v>
      </c>
    </row>
    <row r="312" spans="1:13" ht="12.75" x14ac:dyDescent="0.2">
      <c r="A312" s="16" t="s">
        <v>62</v>
      </c>
      <c r="B312" s="2">
        <v>22984</v>
      </c>
      <c r="C312" s="2">
        <v>1567</v>
      </c>
      <c r="D312" s="2">
        <v>159670</v>
      </c>
      <c r="E312" s="2">
        <v>59952</v>
      </c>
      <c r="F312" s="2">
        <v>362641</v>
      </c>
      <c r="G312" s="2">
        <v>84627</v>
      </c>
      <c r="H312" s="2">
        <v>811862</v>
      </c>
      <c r="I312" s="2">
        <v>17246</v>
      </c>
      <c r="J312" s="2">
        <v>80987</v>
      </c>
      <c r="K312" s="2">
        <v>34006</v>
      </c>
      <c r="L312" s="2">
        <f t="shared" ref="L312:L323" si="5">SUM(B312:K312)</f>
        <v>1635542</v>
      </c>
      <c r="M312" s="2">
        <v>35589</v>
      </c>
    </row>
    <row r="313" spans="1:13" ht="12.75" x14ac:dyDescent="0.2">
      <c r="A313" s="16" t="s">
        <v>63</v>
      </c>
      <c r="B313" s="2">
        <v>12220</v>
      </c>
      <c r="C313" s="2">
        <v>1586</v>
      </c>
      <c r="D313" s="2">
        <v>163461</v>
      </c>
      <c r="E313" s="2">
        <v>59297</v>
      </c>
      <c r="F313" s="2">
        <v>374211</v>
      </c>
      <c r="G313" s="2">
        <v>87604</v>
      </c>
      <c r="H313" s="2">
        <v>826332</v>
      </c>
      <c r="I313" s="2">
        <v>17300</v>
      </c>
      <c r="J313" s="2">
        <v>84317</v>
      </c>
      <c r="K313" s="2">
        <v>35697</v>
      </c>
      <c r="L313" s="2">
        <f t="shared" si="5"/>
        <v>1662025</v>
      </c>
      <c r="M313" s="2">
        <v>36138</v>
      </c>
    </row>
    <row r="314" spans="1:13" ht="12.75" x14ac:dyDescent="0.2">
      <c r="A314" s="16" t="s">
        <v>64</v>
      </c>
      <c r="B314" s="2">
        <v>11505</v>
      </c>
      <c r="C314" s="2">
        <v>1365</v>
      </c>
      <c r="D314" s="2">
        <v>167888</v>
      </c>
      <c r="E314" s="2">
        <v>60466</v>
      </c>
      <c r="F314" s="2">
        <v>381123</v>
      </c>
      <c r="G314" s="2">
        <v>91929</v>
      </c>
      <c r="H314" s="2">
        <v>833475</v>
      </c>
      <c r="I314" s="2">
        <v>15605</v>
      </c>
      <c r="J314" s="2">
        <v>91370</v>
      </c>
      <c r="K314" s="2">
        <v>35209</v>
      </c>
      <c r="L314" s="2">
        <f t="shared" si="5"/>
        <v>1689935</v>
      </c>
      <c r="M314" s="2">
        <v>37437</v>
      </c>
    </row>
    <row r="315" spans="1:13" ht="12.75" x14ac:dyDescent="0.2">
      <c r="A315" s="16" t="s">
        <v>65</v>
      </c>
      <c r="B315" s="2">
        <v>11681</v>
      </c>
      <c r="C315" s="2">
        <v>1263</v>
      </c>
      <c r="D315" s="2">
        <v>172227</v>
      </c>
      <c r="E315" s="2">
        <v>65296</v>
      </c>
      <c r="F315" s="2">
        <v>386690</v>
      </c>
      <c r="G315" s="2">
        <v>95145</v>
      </c>
      <c r="H315" s="2">
        <v>848379</v>
      </c>
      <c r="I315" s="2">
        <v>14823</v>
      </c>
      <c r="J315" s="2">
        <v>89017</v>
      </c>
      <c r="K315" s="2">
        <v>37577</v>
      </c>
      <c r="L315" s="2">
        <f t="shared" si="5"/>
        <v>1722098</v>
      </c>
      <c r="M315" s="2">
        <v>38245</v>
      </c>
    </row>
    <row r="316" spans="1:13" ht="12.75" x14ac:dyDescent="0.2">
      <c r="A316" s="16" t="s">
        <v>66</v>
      </c>
      <c r="B316" s="2">
        <v>8756</v>
      </c>
      <c r="C316" s="2">
        <v>1355</v>
      </c>
      <c r="D316" s="2">
        <v>177430</v>
      </c>
      <c r="E316" s="2">
        <v>65339</v>
      </c>
      <c r="F316" s="2">
        <v>388510</v>
      </c>
      <c r="G316" s="2">
        <v>95380</v>
      </c>
      <c r="H316" s="2">
        <v>854539</v>
      </c>
      <c r="I316" s="2">
        <v>15024</v>
      </c>
      <c r="J316" s="2">
        <v>90362</v>
      </c>
      <c r="K316" s="2">
        <v>36553</v>
      </c>
      <c r="L316" s="2">
        <f t="shared" si="5"/>
        <v>1733248</v>
      </c>
      <c r="M316" s="2">
        <v>38428</v>
      </c>
    </row>
    <row r="317" spans="1:13" ht="12.75" x14ac:dyDescent="0.2">
      <c r="A317" s="16" t="s">
        <v>67</v>
      </c>
      <c r="B317" s="2">
        <v>10190</v>
      </c>
      <c r="C317" s="2">
        <v>1326</v>
      </c>
      <c r="D317" s="2">
        <v>169188</v>
      </c>
      <c r="E317" s="2">
        <v>66116</v>
      </c>
      <c r="F317" s="2">
        <v>406529</v>
      </c>
      <c r="G317" s="2">
        <v>98346</v>
      </c>
      <c r="H317" s="2">
        <v>867824</v>
      </c>
      <c r="I317" s="2">
        <v>14619</v>
      </c>
      <c r="J317" s="2">
        <v>88438</v>
      </c>
      <c r="K317" s="2">
        <v>42569</v>
      </c>
      <c r="L317" s="2">
        <f t="shared" si="5"/>
        <v>1765145</v>
      </c>
      <c r="M317" s="2">
        <v>37644</v>
      </c>
    </row>
    <row r="318" spans="1:13" ht="12.75" x14ac:dyDescent="0.2">
      <c r="A318" s="16" t="s">
        <v>68</v>
      </c>
      <c r="B318" s="2">
        <v>12092</v>
      </c>
      <c r="C318" s="2">
        <v>1563</v>
      </c>
      <c r="D318" s="2">
        <v>178804</v>
      </c>
      <c r="E318" s="2">
        <v>66762</v>
      </c>
      <c r="F318" s="2">
        <v>390319</v>
      </c>
      <c r="G318" s="2">
        <v>96183</v>
      </c>
      <c r="H318" s="2">
        <v>872980</v>
      </c>
      <c r="I318" s="2">
        <v>14738</v>
      </c>
      <c r="J318" s="2">
        <v>93496</v>
      </c>
      <c r="K318" s="2">
        <v>36212</v>
      </c>
      <c r="L318" s="2">
        <f t="shared" si="5"/>
        <v>1763149</v>
      </c>
      <c r="M318" s="2">
        <v>38377</v>
      </c>
    </row>
    <row r="319" spans="1:13" ht="12.75" x14ac:dyDescent="0.2">
      <c r="A319" s="16" t="s">
        <v>69</v>
      </c>
      <c r="B319" s="2">
        <v>7341</v>
      </c>
      <c r="C319" s="2">
        <v>1448</v>
      </c>
      <c r="D319" s="2">
        <v>180270</v>
      </c>
      <c r="E319" s="2">
        <v>57938</v>
      </c>
      <c r="F319" s="2">
        <v>399171</v>
      </c>
      <c r="G319" s="2">
        <v>103053</v>
      </c>
      <c r="H319" s="2">
        <v>878857</v>
      </c>
      <c r="I319" s="2">
        <v>15535</v>
      </c>
      <c r="J319" s="2">
        <v>94475</v>
      </c>
      <c r="K319" s="2">
        <v>42358</v>
      </c>
      <c r="L319" s="2">
        <f t="shared" si="5"/>
        <v>1780446</v>
      </c>
      <c r="M319" s="2">
        <v>39856</v>
      </c>
    </row>
    <row r="320" spans="1:13" ht="12.75" x14ac:dyDescent="0.2">
      <c r="A320" s="16" t="s">
        <v>72</v>
      </c>
      <c r="B320" s="2">
        <v>10498</v>
      </c>
      <c r="C320" s="2">
        <v>1150</v>
      </c>
      <c r="D320" s="2">
        <v>183726</v>
      </c>
      <c r="E320" s="2">
        <v>58699</v>
      </c>
      <c r="F320" s="2">
        <v>374583</v>
      </c>
      <c r="G320" s="2">
        <v>104529</v>
      </c>
      <c r="H320" s="2">
        <v>880788</v>
      </c>
      <c r="I320" s="2">
        <v>14823</v>
      </c>
      <c r="J320" s="2">
        <v>97447</v>
      </c>
      <c r="K320" s="2">
        <v>43152</v>
      </c>
      <c r="L320" s="2">
        <f t="shared" si="5"/>
        <v>1769395</v>
      </c>
      <c r="M320" s="2">
        <v>34480</v>
      </c>
    </row>
    <row r="321" spans="1:13" ht="12.75" x14ac:dyDescent="0.2">
      <c r="A321" s="16" t="s">
        <v>58</v>
      </c>
      <c r="B321" s="2">
        <v>8543</v>
      </c>
      <c r="C321" s="2">
        <v>1046</v>
      </c>
      <c r="D321" s="2">
        <v>181161</v>
      </c>
      <c r="E321" s="2">
        <v>57386</v>
      </c>
      <c r="F321" s="2">
        <v>365120</v>
      </c>
      <c r="G321" s="2">
        <v>105592</v>
      </c>
      <c r="H321" s="2">
        <v>884240</v>
      </c>
      <c r="I321" s="2">
        <v>16246</v>
      </c>
      <c r="J321" s="2">
        <v>98671</v>
      </c>
      <c r="K321" s="2">
        <v>43696</v>
      </c>
      <c r="L321" s="2">
        <f t="shared" si="5"/>
        <v>1761701</v>
      </c>
      <c r="M321" s="2">
        <v>32445</v>
      </c>
    </row>
    <row r="322" spans="1:13" ht="12.75" x14ac:dyDescent="0.2">
      <c r="A322" s="16" t="s">
        <v>59</v>
      </c>
      <c r="B322" s="2">
        <v>7650</v>
      </c>
      <c r="C322" s="2">
        <v>1129</v>
      </c>
      <c r="D322" s="2">
        <v>175553</v>
      </c>
      <c r="E322" s="2">
        <v>64937</v>
      </c>
      <c r="F322" s="2">
        <v>376830</v>
      </c>
      <c r="G322" s="2">
        <v>107157</v>
      </c>
      <c r="H322" s="2">
        <v>892255</v>
      </c>
      <c r="I322" s="2">
        <v>15926</v>
      </c>
      <c r="J322" s="2">
        <v>102395</v>
      </c>
      <c r="K322" s="2">
        <v>45882</v>
      </c>
      <c r="L322" s="2">
        <f t="shared" si="5"/>
        <v>1789714</v>
      </c>
      <c r="M322" s="2">
        <v>42987</v>
      </c>
    </row>
    <row r="323" spans="1:13" ht="12.75" x14ac:dyDescent="0.2">
      <c r="A323" s="16" t="s">
        <v>60</v>
      </c>
      <c r="B323" s="2">
        <v>7413</v>
      </c>
      <c r="C323" s="2">
        <v>1374</v>
      </c>
      <c r="D323" s="2">
        <v>184367</v>
      </c>
      <c r="E323" s="2">
        <v>55407</v>
      </c>
      <c r="F323" s="2">
        <v>390395</v>
      </c>
      <c r="G323" s="2">
        <v>111385</v>
      </c>
      <c r="H323" s="2">
        <v>897068</v>
      </c>
      <c r="I323" s="2">
        <v>15201</v>
      </c>
      <c r="J323" s="2">
        <v>112338</v>
      </c>
      <c r="K323" s="2">
        <v>45099</v>
      </c>
      <c r="L323" s="2">
        <f t="shared" si="5"/>
        <v>1820047</v>
      </c>
      <c r="M323" s="2">
        <v>32692</v>
      </c>
    </row>
    <row r="324" spans="1:13" ht="12.75" x14ac:dyDescent="0.2">
      <c r="A324" s="15">
        <v>2009</v>
      </c>
      <c r="B324" s="2"/>
      <c r="C324" s="2"/>
      <c r="D324" s="2" t="s">
        <v>14</v>
      </c>
      <c r="E324" s="2" t="s">
        <v>14</v>
      </c>
      <c r="F324" s="2" t="s">
        <v>14</v>
      </c>
      <c r="G324" s="2" t="s">
        <v>14</v>
      </c>
      <c r="H324" s="2" t="s">
        <v>14</v>
      </c>
      <c r="I324" s="2" t="s">
        <v>14</v>
      </c>
      <c r="J324" s="2" t="s">
        <v>14</v>
      </c>
      <c r="K324" s="2" t="s">
        <v>14</v>
      </c>
      <c r="L324" s="2"/>
      <c r="M324" s="2" t="s">
        <v>14</v>
      </c>
    </row>
    <row r="325" spans="1:13" ht="12.75" x14ac:dyDescent="0.2">
      <c r="A325" s="16" t="s">
        <v>62</v>
      </c>
      <c r="B325" s="2">
        <v>12084</v>
      </c>
      <c r="C325" s="2">
        <v>1439</v>
      </c>
      <c r="D325" s="2">
        <v>187211</v>
      </c>
      <c r="E325" s="2">
        <v>57587</v>
      </c>
      <c r="F325" s="2">
        <v>388120</v>
      </c>
      <c r="G325" s="2">
        <v>113074</v>
      </c>
      <c r="H325" s="2">
        <v>899273</v>
      </c>
      <c r="I325" s="2">
        <v>15988</v>
      </c>
      <c r="J325" s="2">
        <v>120972</v>
      </c>
      <c r="K325" s="2">
        <v>46582</v>
      </c>
      <c r="L325" s="2">
        <v>1842330</v>
      </c>
      <c r="M325" s="2">
        <v>32106</v>
      </c>
    </row>
    <row r="326" spans="1:13" ht="12.75" x14ac:dyDescent="0.2">
      <c r="A326" s="16" t="s">
        <v>63</v>
      </c>
      <c r="B326" s="2">
        <v>9074</v>
      </c>
      <c r="C326" s="2">
        <v>1811</v>
      </c>
      <c r="D326" s="2">
        <v>191393</v>
      </c>
      <c r="E326" s="2">
        <v>58077</v>
      </c>
      <c r="F326" s="2">
        <v>401102</v>
      </c>
      <c r="G326" s="2">
        <v>111085</v>
      </c>
      <c r="H326" s="2">
        <v>904097</v>
      </c>
      <c r="I326" s="2">
        <v>15799</v>
      </c>
      <c r="J326" s="2">
        <v>118530</v>
      </c>
      <c r="K326" s="2">
        <v>42682</v>
      </c>
      <c r="L326" s="2">
        <v>1853650</v>
      </c>
      <c r="M326" s="2">
        <v>29618</v>
      </c>
    </row>
    <row r="327" spans="1:13" ht="12.75" x14ac:dyDescent="0.2">
      <c r="A327" s="16" t="s">
        <v>64</v>
      </c>
      <c r="B327" s="2">
        <v>17964</v>
      </c>
      <c r="C327" s="2">
        <v>2102</v>
      </c>
      <c r="D327" s="2">
        <v>196351</v>
      </c>
      <c r="E327" s="2">
        <v>58649</v>
      </c>
      <c r="F327" s="2">
        <v>431168</v>
      </c>
      <c r="G327" s="2">
        <v>118358</v>
      </c>
      <c r="H327" s="2">
        <v>912966</v>
      </c>
      <c r="I327" s="2">
        <v>15065</v>
      </c>
      <c r="J327" s="2">
        <v>130041</v>
      </c>
      <c r="K327" s="2">
        <v>41841</v>
      </c>
      <c r="L327" s="2">
        <v>1924505</v>
      </c>
      <c r="M327" s="2">
        <v>30528</v>
      </c>
    </row>
    <row r="328" spans="1:13" ht="12.75" x14ac:dyDescent="0.2">
      <c r="A328" s="16" t="s">
        <v>65</v>
      </c>
      <c r="B328" s="2">
        <v>14805</v>
      </c>
      <c r="C328" s="2">
        <v>2192</v>
      </c>
      <c r="D328" s="2">
        <v>200015</v>
      </c>
      <c r="E328" s="2">
        <v>99482</v>
      </c>
      <c r="F328" s="2">
        <v>427908</v>
      </c>
      <c r="G328" s="2">
        <v>83624</v>
      </c>
      <c r="H328" s="2">
        <v>923080</v>
      </c>
      <c r="I328" s="2">
        <v>14706</v>
      </c>
      <c r="J328" s="2">
        <v>124969</v>
      </c>
      <c r="K328" s="2">
        <v>40404</v>
      </c>
      <c r="L328" s="2">
        <v>1931185</v>
      </c>
      <c r="M328" s="2">
        <v>28962</v>
      </c>
    </row>
    <row r="329" spans="1:13" ht="12.75" x14ac:dyDescent="0.2">
      <c r="A329" s="16" t="s">
        <v>66</v>
      </c>
      <c r="B329" s="2">
        <v>14905</v>
      </c>
      <c r="C329" s="2">
        <v>2127</v>
      </c>
      <c r="D329" s="2">
        <v>159545</v>
      </c>
      <c r="E329" s="2">
        <v>59633</v>
      </c>
      <c r="F329" s="2">
        <v>440728</v>
      </c>
      <c r="G329" s="2">
        <v>122833</v>
      </c>
      <c r="H329" s="2">
        <v>927951</v>
      </c>
      <c r="I329" s="2">
        <v>59741</v>
      </c>
      <c r="J329" s="2">
        <v>126588</v>
      </c>
      <c r="K329" s="2">
        <v>42214</v>
      </c>
      <c r="L329" s="2">
        <v>1956265</v>
      </c>
      <c r="M329" s="2">
        <v>29289</v>
      </c>
    </row>
    <row r="330" spans="1:13" ht="12.75" x14ac:dyDescent="0.2">
      <c r="A330" s="16" t="s">
        <v>67</v>
      </c>
      <c r="B330" s="2">
        <v>16977</v>
      </c>
      <c r="C330" s="2">
        <v>2033</v>
      </c>
      <c r="D330" s="2">
        <v>207231</v>
      </c>
      <c r="E330" s="2">
        <v>60551</v>
      </c>
      <c r="F330" s="2">
        <v>421448</v>
      </c>
      <c r="G330" s="2">
        <v>121794</v>
      </c>
      <c r="H330" s="2">
        <v>927535</v>
      </c>
      <c r="I330" s="2">
        <v>14627</v>
      </c>
      <c r="J330" s="2">
        <v>118513</v>
      </c>
      <c r="K330" s="2">
        <v>42650</v>
      </c>
      <c r="L330" s="2">
        <v>1933359</v>
      </c>
      <c r="M330" s="2">
        <v>29703</v>
      </c>
    </row>
    <row r="331" spans="1:13" ht="12.75" x14ac:dyDescent="0.2">
      <c r="A331" s="16" t="s">
        <v>68</v>
      </c>
      <c r="B331" s="2">
        <v>18354</v>
      </c>
      <c r="C331" s="2">
        <v>1777</v>
      </c>
      <c r="D331" s="2">
        <v>205435</v>
      </c>
      <c r="E331" s="2">
        <v>61678</v>
      </c>
      <c r="F331" s="2">
        <v>412040</v>
      </c>
      <c r="G331" s="2">
        <v>121627</v>
      </c>
      <c r="H331" s="2">
        <v>937766</v>
      </c>
      <c r="I331" s="2">
        <v>15035</v>
      </c>
      <c r="J331" s="2">
        <v>110335</v>
      </c>
      <c r="K331" s="2">
        <v>42845</v>
      </c>
      <c r="L331" s="2">
        <v>1926892</v>
      </c>
      <c r="M331" s="2">
        <v>29686</v>
      </c>
    </row>
    <row r="332" spans="1:13" ht="12.75" x14ac:dyDescent="0.2">
      <c r="A332" s="16" t="s">
        <v>69</v>
      </c>
      <c r="B332" s="2">
        <v>17278</v>
      </c>
      <c r="C332" s="2">
        <v>1737</v>
      </c>
      <c r="D332" s="2">
        <v>225133</v>
      </c>
      <c r="E332" s="2">
        <v>61894</v>
      </c>
      <c r="F332" s="2">
        <v>471711</v>
      </c>
      <c r="G332" s="2">
        <v>119442</v>
      </c>
      <c r="H332" s="2">
        <v>930684</v>
      </c>
      <c r="I332" s="2">
        <v>14293</v>
      </c>
      <c r="J332" s="2">
        <v>22992</v>
      </c>
      <c r="K332" s="2">
        <v>40961</v>
      </c>
      <c r="L332" s="2">
        <v>1906125</v>
      </c>
      <c r="M332" s="2">
        <v>32684</v>
      </c>
    </row>
    <row r="333" spans="1:13" ht="12.75" x14ac:dyDescent="0.2">
      <c r="A333" s="16" t="s">
        <v>72</v>
      </c>
      <c r="B333" s="2">
        <v>16731</v>
      </c>
      <c r="C333" s="2">
        <v>1549</v>
      </c>
      <c r="D333" s="2">
        <v>181946</v>
      </c>
      <c r="E333" s="2">
        <v>61299</v>
      </c>
      <c r="F333" s="2">
        <v>473738</v>
      </c>
      <c r="G333" s="2">
        <v>167994</v>
      </c>
      <c r="H333" s="2">
        <v>934117</v>
      </c>
      <c r="I333" s="2">
        <v>14282</v>
      </c>
      <c r="J333" s="2">
        <v>24287</v>
      </c>
      <c r="K333" s="2">
        <v>40700</v>
      </c>
      <c r="L333" s="2">
        <v>1916643</v>
      </c>
      <c r="M333" s="2">
        <v>33874</v>
      </c>
    </row>
    <row r="334" spans="1:13" ht="12.75" x14ac:dyDescent="0.2">
      <c r="A334" s="16" t="s">
        <v>58</v>
      </c>
      <c r="B334" s="2">
        <v>14225</v>
      </c>
      <c r="C334" s="2">
        <v>1451</v>
      </c>
      <c r="D334" s="2">
        <v>233609</v>
      </c>
      <c r="E334" s="2">
        <v>61367</v>
      </c>
      <c r="F334" s="2">
        <v>476243</v>
      </c>
      <c r="G334" s="2">
        <v>120465</v>
      </c>
      <c r="H334" s="2">
        <v>938585</v>
      </c>
      <c r="I334" s="2">
        <v>15705</v>
      </c>
      <c r="J334" s="2">
        <v>28901</v>
      </c>
      <c r="K334" s="2">
        <v>40878</v>
      </c>
      <c r="L334" s="2">
        <v>1931429</v>
      </c>
      <c r="M334" s="2">
        <v>33300</v>
      </c>
    </row>
    <row r="335" spans="1:13" ht="12.75" x14ac:dyDescent="0.2">
      <c r="A335" s="16" t="s">
        <v>59</v>
      </c>
      <c r="B335" s="2">
        <v>18531</v>
      </c>
      <c r="C335" s="2">
        <v>1416</v>
      </c>
      <c r="D335" s="2">
        <v>235721</v>
      </c>
      <c r="E335" s="2">
        <v>60931</v>
      </c>
      <c r="F335" s="2">
        <v>484813</v>
      </c>
      <c r="G335" s="2">
        <v>122328</v>
      </c>
      <c r="H335" s="2">
        <v>941022</v>
      </c>
      <c r="I335" s="2">
        <v>15581</v>
      </c>
      <c r="J335" s="2">
        <v>33137</v>
      </c>
      <c r="K335" s="2">
        <v>40739</v>
      </c>
      <c r="L335" s="2">
        <v>1954219</v>
      </c>
      <c r="M335" s="2">
        <v>36113</v>
      </c>
    </row>
    <row r="336" spans="1:13" ht="12.75" x14ac:dyDescent="0.2">
      <c r="A336" s="16" t="s">
        <v>60</v>
      </c>
      <c r="B336" s="2">
        <v>16855</v>
      </c>
      <c r="C336" s="2">
        <v>1333</v>
      </c>
      <c r="D336" s="2">
        <v>234877</v>
      </c>
      <c r="E336" s="2">
        <v>60988</v>
      </c>
      <c r="F336" s="2">
        <v>478871</v>
      </c>
      <c r="G336" s="2">
        <v>127243</v>
      </c>
      <c r="H336" s="2">
        <v>941444</v>
      </c>
      <c r="I336" s="2">
        <v>15602</v>
      </c>
      <c r="J336" s="2">
        <v>38409</v>
      </c>
      <c r="K336" s="2">
        <v>39801</v>
      </c>
      <c r="L336" s="2">
        <v>1955423</v>
      </c>
      <c r="M336" s="2">
        <v>35572</v>
      </c>
    </row>
    <row r="337" spans="1:13" ht="12.75" x14ac:dyDescent="0.2">
      <c r="A337" s="15">
        <v>2010</v>
      </c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ht="12.75" x14ac:dyDescent="0.2">
      <c r="A338" s="16" t="s">
        <v>62</v>
      </c>
      <c r="B338" s="2">
        <v>15681</v>
      </c>
      <c r="C338" s="2">
        <v>1656</v>
      </c>
      <c r="D338" s="2">
        <v>241508</v>
      </c>
      <c r="E338" s="2">
        <v>62001</v>
      </c>
      <c r="F338" s="2">
        <v>479076</v>
      </c>
      <c r="G338" s="2">
        <v>129531</v>
      </c>
      <c r="H338" s="2">
        <v>948014</v>
      </c>
      <c r="I338" s="2">
        <v>16586</v>
      </c>
      <c r="J338" s="2">
        <v>36058</v>
      </c>
      <c r="K338" s="2">
        <v>40069</v>
      </c>
      <c r="L338" s="2">
        <f t="shared" ref="L338:L349" si="6">SUM(B338:K338)</f>
        <v>1970180</v>
      </c>
      <c r="M338" s="2">
        <v>36319</v>
      </c>
    </row>
    <row r="339" spans="1:13" ht="12.75" x14ac:dyDescent="0.2">
      <c r="A339" s="16" t="s">
        <v>63</v>
      </c>
      <c r="B339" s="2">
        <v>15411</v>
      </c>
      <c r="C339" s="2">
        <v>1886</v>
      </c>
      <c r="D339" s="2">
        <v>300219</v>
      </c>
      <c r="E339" s="2">
        <v>61818</v>
      </c>
      <c r="F339" s="2">
        <v>447000</v>
      </c>
      <c r="G339" s="2">
        <v>134452</v>
      </c>
      <c r="H339" s="2">
        <v>958485</v>
      </c>
      <c r="I339" s="2">
        <v>16736</v>
      </c>
      <c r="J339" s="2">
        <v>30038</v>
      </c>
      <c r="K339" s="2">
        <v>37254</v>
      </c>
      <c r="L339" s="2">
        <f t="shared" si="6"/>
        <v>2003299</v>
      </c>
      <c r="M339" s="2">
        <v>85976</v>
      </c>
    </row>
    <row r="340" spans="1:13" ht="12.75" x14ac:dyDescent="0.2">
      <c r="A340" s="16" t="s">
        <v>64</v>
      </c>
      <c r="B340" s="2">
        <v>17168</v>
      </c>
      <c r="C340" s="2">
        <v>1793</v>
      </c>
      <c r="D340" s="2">
        <v>259280</v>
      </c>
      <c r="E340" s="2">
        <v>62595</v>
      </c>
      <c r="F340" s="2">
        <v>462895</v>
      </c>
      <c r="G340" s="2">
        <v>138045</v>
      </c>
      <c r="H340" s="2">
        <v>956817</v>
      </c>
      <c r="I340" s="2">
        <v>15381</v>
      </c>
      <c r="J340" s="2">
        <v>26975</v>
      </c>
      <c r="K340" s="2">
        <v>37484</v>
      </c>
      <c r="L340" s="2">
        <f t="shared" si="6"/>
        <v>1978433</v>
      </c>
      <c r="M340" s="2">
        <v>37826</v>
      </c>
    </row>
    <row r="341" spans="1:13" ht="12.75" x14ac:dyDescent="0.2">
      <c r="A341" s="16" t="s">
        <v>65</v>
      </c>
      <c r="B341" s="2">
        <v>16249</v>
      </c>
      <c r="C341" s="2">
        <v>1575</v>
      </c>
      <c r="D341" s="2">
        <v>254153</v>
      </c>
      <c r="E341" s="2">
        <v>68046</v>
      </c>
      <c r="F341" s="2">
        <v>445118</v>
      </c>
      <c r="G341" s="2">
        <v>142913</v>
      </c>
      <c r="H341" s="2">
        <v>962577</v>
      </c>
      <c r="I341" s="2">
        <v>16581</v>
      </c>
      <c r="J341" s="2">
        <v>10047</v>
      </c>
      <c r="K341" s="2">
        <v>39109</v>
      </c>
      <c r="L341" s="2">
        <f t="shared" si="6"/>
        <v>1956368</v>
      </c>
      <c r="M341" s="2">
        <v>37161</v>
      </c>
    </row>
    <row r="342" spans="1:13" ht="12.75" x14ac:dyDescent="0.2">
      <c r="A342" s="16" t="s">
        <v>66</v>
      </c>
      <c r="B342" s="2">
        <v>16050</v>
      </c>
      <c r="C342" s="2">
        <v>1483</v>
      </c>
      <c r="D342" s="2">
        <v>253885</v>
      </c>
      <c r="E342" s="2">
        <v>69041</v>
      </c>
      <c r="F342" s="2">
        <v>442071</v>
      </c>
      <c r="G342" s="2">
        <v>144858</v>
      </c>
      <c r="H342" s="2">
        <v>966232</v>
      </c>
      <c r="I342" s="2">
        <v>15816</v>
      </c>
      <c r="J342" s="2">
        <v>10238</v>
      </c>
      <c r="K342" s="2">
        <v>38404</v>
      </c>
      <c r="L342" s="2">
        <f t="shared" si="6"/>
        <v>1958078</v>
      </c>
      <c r="M342" s="2">
        <v>37366</v>
      </c>
    </row>
    <row r="343" spans="1:13" ht="12.75" x14ac:dyDescent="0.2">
      <c r="A343" s="16" t="s">
        <v>67</v>
      </c>
      <c r="B343" s="2">
        <v>16363</v>
      </c>
      <c r="C343" s="2">
        <v>1411</v>
      </c>
      <c r="D343" s="2">
        <v>257059</v>
      </c>
      <c r="E343" s="2">
        <v>69454</v>
      </c>
      <c r="F343" s="2">
        <v>430253</v>
      </c>
      <c r="G343" s="2">
        <v>145280</v>
      </c>
      <c r="H343" s="2">
        <v>968265</v>
      </c>
      <c r="I343" s="2">
        <v>13663</v>
      </c>
      <c r="J343" s="2">
        <v>13543</v>
      </c>
      <c r="K343" s="2">
        <v>39181</v>
      </c>
      <c r="L343" s="2">
        <f t="shared" si="6"/>
        <v>1954472</v>
      </c>
      <c r="M343" s="2">
        <v>37866</v>
      </c>
    </row>
    <row r="344" spans="1:13" ht="12.75" x14ac:dyDescent="0.2">
      <c r="A344" s="16" t="s">
        <v>68</v>
      </c>
      <c r="B344" s="2">
        <v>15269</v>
      </c>
      <c r="C344" s="2">
        <v>1501</v>
      </c>
      <c r="D344" s="2">
        <v>280931</v>
      </c>
      <c r="E344" s="2">
        <v>72086</v>
      </c>
      <c r="F344" s="2">
        <v>434003</v>
      </c>
      <c r="G344" s="2">
        <v>144242</v>
      </c>
      <c r="H344" s="2">
        <v>966592</v>
      </c>
      <c r="I344" s="2">
        <v>14360</v>
      </c>
      <c r="J344" s="2">
        <v>11171</v>
      </c>
      <c r="K344" s="2">
        <v>20985</v>
      </c>
      <c r="L344" s="2">
        <f t="shared" si="6"/>
        <v>1961140</v>
      </c>
      <c r="M344" s="2">
        <v>39122</v>
      </c>
    </row>
    <row r="345" spans="1:13" ht="12.75" x14ac:dyDescent="0.2">
      <c r="A345" s="16" t="s">
        <v>69</v>
      </c>
      <c r="B345" s="2">
        <v>15813</v>
      </c>
      <c r="C345" s="2">
        <v>1300</v>
      </c>
      <c r="D345" s="2">
        <v>268450</v>
      </c>
      <c r="E345" s="2">
        <v>74226</v>
      </c>
      <c r="F345" s="2">
        <v>430675</v>
      </c>
      <c r="G345" s="2">
        <v>144629</v>
      </c>
      <c r="H345" s="2">
        <v>960873</v>
      </c>
      <c r="I345" s="2">
        <v>13724</v>
      </c>
      <c r="J345" s="2">
        <v>10971</v>
      </c>
      <c r="K345" s="2">
        <v>38444</v>
      </c>
      <c r="L345" s="2">
        <f t="shared" si="6"/>
        <v>1959105</v>
      </c>
      <c r="M345" s="2">
        <v>38633</v>
      </c>
    </row>
    <row r="346" spans="1:13" ht="12.75" x14ac:dyDescent="0.2">
      <c r="A346" s="16" t="s">
        <v>72</v>
      </c>
      <c r="B346" s="2">
        <v>15742</v>
      </c>
      <c r="C346" s="2">
        <v>1302</v>
      </c>
      <c r="D346" s="2">
        <v>279648</v>
      </c>
      <c r="E346" s="2">
        <v>71754</v>
      </c>
      <c r="F346" s="2">
        <v>417219</v>
      </c>
      <c r="G346" s="2">
        <v>146223</v>
      </c>
      <c r="H346" s="2">
        <v>964867</v>
      </c>
      <c r="I346" s="2">
        <v>13879</v>
      </c>
      <c r="J346" s="2">
        <v>13277</v>
      </c>
      <c r="K346" s="2">
        <v>37171</v>
      </c>
      <c r="L346" s="2">
        <f t="shared" si="6"/>
        <v>1961082</v>
      </c>
      <c r="M346" s="2">
        <v>38165</v>
      </c>
    </row>
    <row r="347" spans="1:13" ht="12.75" x14ac:dyDescent="0.2">
      <c r="A347" s="16" t="s">
        <v>58</v>
      </c>
      <c r="B347" s="2">
        <v>16043</v>
      </c>
      <c r="C347" s="2">
        <v>516</v>
      </c>
      <c r="D347" s="2">
        <v>266556</v>
      </c>
      <c r="E347" s="2">
        <f>70599+138</f>
        <v>70737</v>
      </c>
      <c r="F347" s="2">
        <f>368889+41952</f>
        <v>410841</v>
      </c>
      <c r="G347" s="2">
        <f>147725+604</f>
        <v>148329</v>
      </c>
      <c r="H347" s="2">
        <f>964401+2784</f>
        <v>967185</v>
      </c>
      <c r="I347" s="2">
        <f>14612+538</f>
        <v>15150</v>
      </c>
      <c r="J347" s="2">
        <f>9949+910</f>
        <v>10859</v>
      </c>
      <c r="K347" s="2">
        <f>37236+63</f>
        <v>37299</v>
      </c>
      <c r="L347" s="2">
        <f t="shared" si="6"/>
        <v>1943515</v>
      </c>
      <c r="M347" s="2">
        <v>38171</v>
      </c>
    </row>
    <row r="348" spans="1:13" ht="12.75" x14ac:dyDescent="0.2">
      <c r="A348" s="16" t="s">
        <v>59</v>
      </c>
      <c r="B348" s="2">
        <v>27907</v>
      </c>
      <c r="C348" s="2">
        <v>397</v>
      </c>
      <c r="D348" s="2">
        <v>248214</v>
      </c>
      <c r="E348" s="2">
        <f>69480+145</f>
        <v>69625</v>
      </c>
      <c r="F348" s="2">
        <f>378102+46480</f>
        <v>424582</v>
      </c>
      <c r="G348" s="2">
        <f>148607+622</f>
        <v>149229</v>
      </c>
      <c r="H348" s="2">
        <f>969713+2973</f>
        <v>972686</v>
      </c>
      <c r="I348" s="2">
        <f>14149+559</f>
        <v>14708</v>
      </c>
      <c r="J348" s="2">
        <f>9081+1099</f>
        <v>10180</v>
      </c>
      <c r="K348" s="2">
        <f>38706+31</f>
        <v>38737</v>
      </c>
      <c r="L348" s="2">
        <f>SUM(B348:K348)</f>
        <v>1956265</v>
      </c>
      <c r="M348" s="2">
        <v>37909</v>
      </c>
    </row>
    <row r="349" spans="1:13" ht="12.75" x14ac:dyDescent="0.2">
      <c r="A349" s="16" t="s">
        <v>60</v>
      </c>
      <c r="B349" s="2">
        <v>34959</v>
      </c>
      <c r="C349" s="2">
        <v>342</v>
      </c>
      <c r="D349" s="2">
        <v>249373</v>
      </c>
      <c r="E349" s="2">
        <f>67706+130</f>
        <v>67836</v>
      </c>
      <c r="F349" s="2">
        <f>367355+50379</f>
        <v>417734</v>
      </c>
      <c r="G349" s="2">
        <f>151103+766</f>
        <v>151869</v>
      </c>
      <c r="H349" s="2">
        <f>971682+3397</f>
        <v>975079</v>
      </c>
      <c r="I349" s="2">
        <f>13611+634</f>
        <v>14245</v>
      </c>
      <c r="J349" s="2">
        <f>11337+1622</f>
        <v>12959</v>
      </c>
      <c r="K349" s="2">
        <f>37647+16</f>
        <v>37663</v>
      </c>
      <c r="L349" s="2">
        <f t="shared" si="6"/>
        <v>1962059</v>
      </c>
      <c r="M349" s="2">
        <v>37647</v>
      </c>
    </row>
    <row r="350" spans="1:13" ht="15" customHeight="1" x14ac:dyDescent="0.2">
      <c r="A350" s="15">
        <v>2011</v>
      </c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ht="12.75" x14ac:dyDescent="0.2">
      <c r="A351" s="16" t="s">
        <v>62</v>
      </c>
      <c r="B351" s="2">
        <v>34941</v>
      </c>
      <c r="C351" s="2">
        <v>1422</v>
      </c>
      <c r="D351" s="2">
        <f>205970+8526</f>
        <v>214496</v>
      </c>
      <c r="E351" s="2">
        <f>67533+42</f>
        <v>67575</v>
      </c>
      <c r="F351" s="2">
        <f>373351+51186</f>
        <v>424537</v>
      </c>
      <c r="G351" s="2">
        <f>155788+629</f>
        <v>156417</v>
      </c>
      <c r="H351" s="2">
        <f>971143+3401</f>
        <v>974544</v>
      </c>
      <c r="I351" s="2">
        <f>14653+558</f>
        <v>15211</v>
      </c>
      <c r="J351" s="2">
        <f>10402+3566</f>
        <v>13968</v>
      </c>
      <c r="K351" s="2">
        <f>41131+269+37468</f>
        <v>78868</v>
      </c>
      <c r="L351" s="2">
        <f>B351+D351+E351+F351+G351+H351+I351+J351+K351</f>
        <v>1980557</v>
      </c>
      <c r="M351" s="2">
        <v>37468</v>
      </c>
    </row>
    <row r="352" spans="1:13" ht="12.75" x14ac:dyDescent="0.2">
      <c r="A352" s="16" t="s">
        <v>63</v>
      </c>
      <c r="B352" s="2">
        <v>32346</v>
      </c>
      <c r="C352" s="2">
        <v>1305</v>
      </c>
      <c r="D352" s="2">
        <f>208292+8710</f>
        <v>217002</v>
      </c>
      <c r="E352" s="2">
        <f>67299+40</f>
        <v>67339</v>
      </c>
      <c r="F352" s="2">
        <f>376538+52483</f>
        <v>429021</v>
      </c>
      <c r="G352" s="2">
        <f>158271+605</f>
        <v>158876</v>
      </c>
      <c r="H352" s="2">
        <f>975255+3146</f>
        <v>978401</v>
      </c>
      <c r="I352" s="2">
        <f>14526+422</f>
        <v>14948</v>
      </c>
      <c r="J352" s="2">
        <f>11384+3174</f>
        <v>14558</v>
      </c>
      <c r="K352" s="2">
        <f>41484+14+37439</f>
        <v>78937</v>
      </c>
      <c r="L352" s="2">
        <f t="shared" ref="L352:L362" si="7">B352+D352+E352+F352+G352+H352+I352+J352+K352</f>
        <v>1991428</v>
      </c>
      <c r="M352" s="2">
        <v>37439</v>
      </c>
    </row>
    <row r="353" spans="1:14" ht="12.75" x14ac:dyDescent="0.2">
      <c r="A353" s="16" t="s">
        <v>64</v>
      </c>
      <c r="B353" s="2">
        <v>40569</v>
      </c>
      <c r="C353" s="2">
        <v>1320</v>
      </c>
      <c r="D353" s="2">
        <f>214733+8154</f>
        <v>222887</v>
      </c>
      <c r="E353" s="2">
        <f>67526+78</f>
        <v>67604</v>
      </c>
      <c r="F353" s="2">
        <f>384141+56714</f>
        <v>440855</v>
      </c>
      <c r="G353" s="2">
        <f>164737+677</f>
        <v>165414</v>
      </c>
      <c r="H353" s="2">
        <f>982009+3281</f>
        <v>985290</v>
      </c>
      <c r="I353" s="2">
        <f>13505+508</f>
        <v>14013</v>
      </c>
      <c r="J353" s="2">
        <f>10070+3188</f>
        <v>13258</v>
      </c>
      <c r="K353" s="2">
        <f>20+39984+36074</f>
        <v>76078</v>
      </c>
      <c r="L353" s="2">
        <f t="shared" si="7"/>
        <v>2025968</v>
      </c>
      <c r="M353" s="2">
        <v>36074</v>
      </c>
    </row>
    <row r="354" spans="1:14" ht="12.75" x14ac:dyDescent="0.2">
      <c r="A354" s="16" t="s">
        <v>65</v>
      </c>
      <c r="B354" s="2">
        <v>42048</v>
      </c>
      <c r="C354" s="2">
        <v>1297</v>
      </c>
      <c r="D354" s="2">
        <f>208756+9918</f>
        <v>218674</v>
      </c>
      <c r="E354" s="2">
        <f>66917+86</f>
        <v>67003</v>
      </c>
      <c r="F354" s="2">
        <f>379752+58523</f>
        <v>438275</v>
      </c>
      <c r="G354" s="2">
        <f>167345+720</f>
        <v>168065</v>
      </c>
      <c r="H354" s="2">
        <f>1000575+1354</f>
        <v>1001929</v>
      </c>
      <c r="I354" s="2">
        <f>13617+466</f>
        <v>14083</v>
      </c>
      <c r="J354" s="2">
        <f>9296+3244</f>
        <v>12540</v>
      </c>
      <c r="K354" s="2">
        <f>41055+25+36379</f>
        <v>77459</v>
      </c>
      <c r="L354" s="2">
        <f t="shared" si="7"/>
        <v>2040076</v>
      </c>
      <c r="M354" s="2">
        <v>36379</v>
      </c>
    </row>
    <row r="355" spans="1:14" ht="12.75" x14ac:dyDescent="0.2">
      <c r="A355" s="16" t="s">
        <v>66</v>
      </c>
      <c r="B355" s="2">
        <v>46483</v>
      </c>
      <c r="C355" s="2">
        <v>1431</v>
      </c>
      <c r="D355" s="2">
        <f>210573+10635</f>
        <v>221208</v>
      </c>
      <c r="E355" s="2">
        <f>66901+126</f>
        <v>67027</v>
      </c>
      <c r="F355" s="2">
        <f>386824+63183</f>
        <v>450007</v>
      </c>
      <c r="G355" s="2">
        <f>168756+781</f>
        <v>169537</v>
      </c>
      <c r="H355" s="2">
        <f>997933+1323</f>
        <v>999256</v>
      </c>
      <c r="I355" s="2">
        <f>13866+470</f>
        <v>14336</v>
      </c>
      <c r="J355" s="2">
        <f>7527+1874</f>
        <v>9401</v>
      </c>
      <c r="K355" s="2">
        <f>42635+234+31640</f>
        <v>74509</v>
      </c>
      <c r="L355" s="2">
        <f t="shared" si="7"/>
        <v>2051764</v>
      </c>
      <c r="M355" s="2">
        <v>31640</v>
      </c>
    </row>
    <row r="356" spans="1:14" ht="12.75" x14ac:dyDescent="0.2">
      <c r="A356" s="16" t="s">
        <v>67</v>
      </c>
      <c r="B356" s="2">
        <v>43235</v>
      </c>
      <c r="C356" s="2">
        <v>1372</v>
      </c>
      <c r="D356" s="2">
        <f>213257+12779</f>
        <v>226036</v>
      </c>
      <c r="E356" s="2">
        <f>68017+60</f>
        <v>68077</v>
      </c>
      <c r="F356" s="2">
        <f>376228+61339</f>
        <v>437567</v>
      </c>
      <c r="G356" s="2">
        <f>168811+760</f>
        <v>169571</v>
      </c>
      <c r="H356" s="2">
        <f>1001972+1108</f>
        <v>1003080</v>
      </c>
      <c r="I356" s="2">
        <f>13022+548</f>
        <v>13570</v>
      </c>
      <c r="J356" s="2">
        <f>6236+1724</f>
        <v>7960</v>
      </c>
      <c r="K356" s="2">
        <f>44419+22+32831</f>
        <v>77272</v>
      </c>
      <c r="L356" s="2">
        <f t="shared" si="7"/>
        <v>2046368</v>
      </c>
      <c r="M356" s="2">
        <v>32831</v>
      </c>
    </row>
    <row r="357" spans="1:14" ht="12.75" x14ac:dyDescent="0.2">
      <c r="A357" s="16" t="s">
        <v>68</v>
      </c>
      <c r="B357" s="2">
        <v>40961</v>
      </c>
      <c r="C357" s="2">
        <v>1478</v>
      </c>
      <c r="D357" s="2">
        <f>214641+11240</f>
        <v>225881</v>
      </c>
      <c r="E357" s="2">
        <f>68912+68</f>
        <v>68980</v>
      </c>
      <c r="F357" s="2">
        <f>382367+65525</f>
        <v>447892</v>
      </c>
      <c r="G357" s="2">
        <f>172960+704</f>
        <v>173664</v>
      </c>
      <c r="H357" s="2">
        <f>1015816+1175</f>
        <v>1016991</v>
      </c>
      <c r="I357" s="2">
        <f>13293+382</f>
        <v>13675</v>
      </c>
      <c r="J357" s="2">
        <f>5741+1492</f>
        <v>7233</v>
      </c>
      <c r="K357" s="2">
        <f>46877+12+32975</f>
        <v>79864</v>
      </c>
      <c r="L357" s="2">
        <f t="shared" si="7"/>
        <v>2075141</v>
      </c>
      <c r="M357" s="2">
        <v>32975</v>
      </c>
    </row>
    <row r="358" spans="1:14" ht="12.75" x14ac:dyDescent="0.2">
      <c r="A358" s="16" t="s">
        <v>69</v>
      </c>
      <c r="B358" s="2">
        <v>43102</v>
      </c>
      <c r="C358" s="2">
        <v>1387</v>
      </c>
      <c r="D358" s="2">
        <f>220083+10333</f>
        <v>230416</v>
      </c>
      <c r="E358" s="2">
        <f>72574+104</f>
        <v>72678</v>
      </c>
      <c r="F358" s="2">
        <f>380698+65509</f>
        <v>446207</v>
      </c>
      <c r="G358" s="2">
        <f>172581+861</f>
        <v>173442</v>
      </c>
      <c r="H358" s="2">
        <f>1003748+1218</f>
        <v>1004966</v>
      </c>
      <c r="I358" s="2">
        <f>12970+464</f>
        <v>13434</v>
      </c>
      <c r="J358" s="2">
        <f>4287+3458</f>
        <v>7745</v>
      </c>
      <c r="K358" s="2">
        <f>44930+14+34550</f>
        <v>79494</v>
      </c>
      <c r="L358" s="2">
        <f t="shared" si="7"/>
        <v>2071484</v>
      </c>
      <c r="M358" s="2">
        <v>34550</v>
      </c>
    </row>
    <row r="359" spans="1:14" ht="12.75" x14ac:dyDescent="0.2">
      <c r="A359" s="16" t="s">
        <v>72</v>
      </c>
      <c r="B359" s="2">
        <v>39514</v>
      </c>
      <c r="C359" s="2">
        <v>3326</v>
      </c>
      <c r="D359" s="2">
        <f>219303+11548</f>
        <v>230851</v>
      </c>
      <c r="E359" s="2">
        <f>67862+118</f>
        <v>67980</v>
      </c>
      <c r="F359" s="2">
        <f>379136+58736</f>
        <v>437872</v>
      </c>
      <c r="G359" s="2">
        <f>174766+836</f>
        <v>175602</v>
      </c>
      <c r="H359" s="2">
        <f>998003+1098</f>
        <v>999101</v>
      </c>
      <c r="I359" s="2">
        <f>14062+398</f>
        <v>14460</v>
      </c>
      <c r="J359" s="2">
        <f>8392+3276</f>
        <v>11668</v>
      </c>
      <c r="K359" s="2">
        <f>47009+12+47009</f>
        <v>94030</v>
      </c>
      <c r="L359" s="2">
        <f t="shared" si="7"/>
        <v>2071078</v>
      </c>
      <c r="M359" s="2">
        <v>47009</v>
      </c>
    </row>
    <row r="360" spans="1:14" ht="12.75" x14ac:dyDescent="0.2">
      <c r="A360" s="16" t="s">
        <v>58</v>
      </c>
      <c r="B360" s="2">
        <v>41809</v>
      </c>
      <c r="C360" s="2">
        <v>1749</v>
      </c>
      <c r="D360" s="2">
        <f>214254+12382</f>
        <v>226636</v>
      </c>
      <c r="E360" s="2">
        <f>68908+162</f>
        <v>69070</v>
      </c>
      <c r="F360" s="2">
        <f>384263+56902</f>
        <v>441165</v>
      </c>
      <c r="G360" s="2">
        <f>179408+794</f>
        <v>180202</v>
      </c>
      <c r="H360" s="2">
        <f>992077+1113</f>
        <v>993190</v>
      </c>
      <c r="I360" s="2">
        <f>12773+502</f>
        <v>13275</v>
      </c>
      <c r="J360" s="2">
        <f>5067+8408</f>
        <v>13475</v>
      </c>
      <c r="K360" s="2">
        <f>44099+10+34046</f>
        <v>78155</v>
      </c>
      <c r="L360" s="2">
        <f t="shared" si="7"/>
        <v>2056977</v>
      </c>
      <c r="M360" s="2">
        <v>34046</v>
      </c>
    </row>
    <row r="361" spans="1:14" ht="12.75" x14ac:dyDescent="0.2">
      <c r="A361" s="16" t="s">
        <v>59</v>
      </c>
      <c r="B361" s="2">
        <v>30977</v>
      </c>
      <c r="C361" s="2">
        <v>1703</v>
      </c>
      <c r="D361" s="2">
        <f>219756+11623</f>
        <v>231379</v>
      </c>
      <c r="E361" s="2">
        <f>67325+140</f>
        <v>67465</v>
      </c>
      <c r="F361" s="2">
        <f>380298+58880</f>
        <v>439178</v>
      </c>
      <c r="G361" s="2">
        <f>181195+690</f>
        <v>181885</v>
      </c>
      <c r="H361" s="2">
        <f>989438+1028</f>
        <v>990466</v>
      </c>
      <c r="I361" s="2">
        <f>12321+304</f>
        <v>12625</v>
      </c>
      <c r="J361" s="2">
        <f>4099+7288</f>
        <v>11387</v>
      </c>
      <c r="K361" s="2">
        <f>46311+16+35319</f>
        <v>81646</v>
      </c>
      <c r="L361" s="2">
        <f t="shared" si="7"/>
        <v>2047008</v>
      </c>
      <c r="M361" s="2">
        <v>35319</v>
      </c>
    </row>
    <row r="362" spans="1:14" ht="12.75" x14ac:dyDescent="0.2">
      <c r="A362" s="16" t="s">
        <v>60</v>
      </c>
      <c r="B362" s="2">
        <v>34908</v>
      </c>
      <c r="C362" s="2">
        <v>1756</v>
      </c>
      <c r="D362" s="2">
        <f>213735+12964</f>
        <v>226699</v>
      </c>
      <c r="E362" s="2">
        <f>66950+282</f>
        <v>67232</v>
      </c>
      <c r="F362" s="2">
        <f>392880+67630</f>
        <v>460510</v>
      </c>
      <c r="G362" s="2">
        <f>182382+652</f>
        <v>183034</v>
      </c>
      <c r="H362" s="2">
        <f>992863+1243</f>
        <v>994106</v>
      </c>
      <c r="I362" s="2">
        <f>12459+282</f>
        <v>12741</v>
      </c>
      <c r="J362" s="2">
        <f>3868+31</f>
        <v>3899</v>
      </c>
      <c r="K362" s="2">
        <f>43670+31+34961</f>
        <v>78662</v>
      </c>
      <c r="L362" s="2">
        <f t="shared" si="7"/>
        <v>2061791</v>
      </c>
      <c r="M362" s="2">
        <v>34961</v>
      </c>
    </row>
    <row r="363" spans="1:14" ht="12.75" x14ac:dyDescent="0.2">
      <c r="A363" s="15">
        <v>2012</v>
      </c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4" ht="12.75" x14ac:dyDescent="0.2">
      <c r="A364" s="16" t="s">
        <v>62</v>
      </c>
      <c r="B364" s="2">
        <v>35545</v>
      </c>
      <c r="C364" s="2">
        <v>2443</v>
      </c>
      <c r="D364" s="2">
        <v>226503</v>
      </c>
      <c r="E364" s="2">
        <v>65960</v>
      </c>
      <c r="F364" s="2">
        <v>467371</v>
      </c>
      <c r="G364" s="2">
        <v>186031</v>
      </c>
      <c r="H364" s="2">
        <v>992444</v>
      </c>
      <c r="I364" s="2">
        <v>13013</v>
      </c>
      <c r="J364" s="2">
        <v>5889</v>
      </c>
      <c r="K364" s="2">
        <v>82203</v>
      </c>
      <c r="L364" s="2">
        <v>2074959</v>
      </c>
      <c r="M364" s="2">
        <v>35344</v>
      </c>
      <c r="N364" s="2"/>
    </row>
    <row r="365" spans="1:14" ht="12.75" x14ac:dyDescent="0.2">
      <c r="A365" s="16" t="s">
        <v>63</v>
      </c>
      <c r="B365" s="2">
        <v>35054</v>
      </c>
      <c r="C365" s="2">
        <v>3092</v>
      </c>
      <c r="D365" s="2">
        <v>228568</v>
      </c>
      <c r="E365" s="2">
        <v>63136</v>
      </c>
      <c r="F365" s="2">
        <v>483748</v>
      </c>
      <c r="G365" s="2">
        <v>193289</v>
      </c>
      <c r="H365" s="2">
        <v>996470</v>
      </c>
      <c r="I365" s="2">
        <v>13881</v>
      </c>
      <c r="J365" s="2">
        <v>9522</v>
      </c>
      <c r="K365" s="2">
        <v>81474</v>
      </c>
      <c r="L365" s="2">
        <v>2105142</v>
      </c>
      <c r="M365" s="2">
        <v>34843</v>
      </c>
      <c r="N365" s="2"/>
    </row>
    <row r="366" spans="1:14" ht="12.75" x14ac:dyDescent="0.2">
      <c r="A366" s="16" t="s">
        <v>64</v>
      </c>
      <c r="B366" s="2">
        <v>36661</v>
      </c>
      <c r="C366" s="2">
        <v>2122</v>
      </c>
      <c r="D366" s="2">
        <v>237912</v>
      </c>
      <c r="E366" s="2">
        <v>66528</v>
      </c>
      <c r="F366" s="2">
        <v>494573</v>
      </c>
      <c r="G366" s="2">
        <v>205822</v>
      </c>
      <c r="H366" s="2">
        <v>1006933</v>
      </c>
      <c r="I366" s="2">
        <v>13182</v>
      </c>
      <c r="J366" s="2">
        <v>8676</v>
      </c>
      <c r="K366" s="2">
        <v>83512</v>
      </c>
      <c r="L366" s="2">
        <v>2153799</v>
      </c>
      <c r="M366" s="2">
        <v>34717</v>
      </c>
      <c r="N366" s="2"/>
    </row>
    <row r="367" spans="1:14" ht="12.75" x14ac:dyDescent="0.2">
      <c r="A367" s="16" t="s">
        <v>65</v>
      </c>
      <c r="B367" s="2">
        <v>38099</v>
      </c>
      <c r="C367" s="2">
        <v>1971</v>
      </c>
      <c r="D367" s="2">
        <v>238792</v>
      </c>
      <c r="E367" s="2">
        <v>68445</v>
      </c>
      <c r="F367" s="2">
        <v>506409</v>
      </c>
      <c r="G367" s="2">
        <v>212855</v>
      </c>
      <c r="H367" s="2">
        <v>1008879</v>
      </c>
      <c r="I367" s="2">
        <v>13717</v>
      </c>
      <c r="J367" s="2">
        <v>13378</v>
      </c>
      <c r="K367" s="2">
        <v>81592</v>
      </c>
      <c r="L367" s="2">
        <v>2182166</v>
      </c>
      <c r="M367" s="2">
        <v>34050</v>
      </c>
      <c r="N367" s="2"/>
    </row>
    <row r="368" spans="1:14" ht="12.75" x14ac:dyDescent="0.2">
      <c r="A368" s="16" t="s">
        <v>66</v>
      </c>
      <c r="B368" s="2">
        <v>34874</v>
      </c>
      <c r="C368" s="2">
        <v>2177</v>
      </c>
      <c r="D368" s="2">
        <v>242230</v>
      </c>
      <c r="E368" s="2">
        <v>68996</v>
      </c>
      <c r="F368" s="2">
        <v>503036</v>
      </c>
      <c r="G368" s="2">
        <v>211794</v>
      </c>
      <c r="H368" s="2">
        <v>1013855</v>
      </c>
      <c r="I368" s="2">
        <v>13969</v>
      </c>
      <c r="J368" s="2">
        <v>12697</v>
      </c>
      <c r="K368" s="2">
        <v>80362</v>
      </c>
      <c r="L368" s="2">
        <v>2181813</v>
      </c>
      <c r="M368" s="2">
        <v>32690</v>
      </c>
      <c r="N368" s="2"/>
    </row>
    <row r="369" spans="1:14" ht="12.75" x14ac:dyDescent="0.2">
      <c r="A369" s="16" t="s">
        <v>67</v>
      </c>
      <c r="B369" s="2">
        <v>34860</v>
      </c>
      <c r="C369" s="2">
        <v>1976</v>
      </c>
      <c r="D369" s="2">
        <v>247878</v>
      </c>
      <c r="E369" s="2">
        <v>70830</v>
      </c>
      <c r="F369" s="2">
        <v>491171</v>
      </c>
      <c r="G369" s="2">
        <v>210106</v>
      </c>
      <c r="H369" s="2">
        <v>1017544</v>
      </c>
      <c r="I369" s="2">
        <v>16012</v>
      </c>
      <c r="J369" s="2">
        <v>5321</v>
      </c>
      <c r="K369" s="2">
        <v>80761</v>
      </c>
      <c r="L369" s="2">
        <v>2174483</v>
      </c>
      <c r="M369" s="2">
        <v>32598</v>
      </c>
      <c r="N369" s="2"/>
    </row>
    <row r="370" spans="1:14" ht="12.75" x14ac:dyDescent="0.2">
      <c r="A370" s="16" t="s">
        <v>68</v>
      </c>
      <c r="B370" s="2">
        <v>38112</v>
      </c>
      <c r="C370" s="2">
        <v>3057</v>
      </c>
      <c r="D370" s="2">
        <v>255928</v>
      </c>
      <c r="E370" s="2">
        <v>69310</v>
      </c>
      <c r="F370" s="2">
        <v>504826</v>
      </c>
      <c r="G370" s="2">
        <v>212864</v>
      </c>
      <c r="H370" s="2">
        <v>1009579</v>
      </c>
      <c r="I370" s="2">
        <v>15039</v>
      </c>
      <c r="J370" s="2">
        <v>9930</v>
      </c>
      <c r="K370" s="2">
        <v>81079</v>
      </c>
      <c r="L370" s="2">
        <v>2196667</v>
      </c>
      <c r="M370" s="2">
        <v>33085</v>
      </c>
      <c r="N370" s="2"/>
    </row>
    <row r="371" spans="1:14" ht="12.75" x14ac:dyDescent="0.2">
      <c r="A371" s="16" t="s">
        <v>69</v>
      </c>
      <c r="B371" s="2">
        <v>37099</v>
      </c>
      <c r="C371" s="2">
        <v>2589</v>
      </c>
      <c r="D371" s="2">
        <v>253513</v>
      </c>
      <c r="E371" s="2">
        <v>70695</v>
      </c>
      <c r="F371" s="2">
        <v>498033</v>
      </c>
      <c r="G371" s="2">
        <v>209426</v>
      </c>
      <c r="H371" s="2">
        <v>1002596</v>
      </c>
      <c r="I371" s="2">
        <v>15786</v>
      </c>
      <c r="J371" s="2">
        <v>12875</v>
      </c>
      <c r="K371" s="2">
        <v>81011</v>
      </c>
      <c r="L371" s="2">
        <v>2181034</v>
      </c>
      <c r="M371" s="2">
        <v>31668</v>
      </c>
      <c r="N371" s="2"/>
    </row>
    <row r="372" spans="1:14" ht="12.75" x14ac:dyDescent="0.2">
      <c r="A372" s="16" t="s">
        <v>72</v>
      </c>
      <c r="B372" s="2">
        <v>39191</v>
      </c>
      <c r="C372" s="2">
        <v>1913</v>
      </c>
      <c r="D372" s="2">
        <v>256334</v>
      </c>
      <c r="E372" s="2">
        <v>70128</v>
      </c>
      <c r="F372" s="2">
        <v>476667</v>
      </c>
      <c r="G372" s="2">
        <v>210265</v>
      </c>
      <c r="H372" s="2">
        <v>1000239</v>
      </c>
      <c r="I372" s="2">
        <v>15992</v>
      </c>
      <c r="J372" s="2">
        <v>9777</v>
      </c>
      <c r="K372" s="2">
        <v>83579</v>
      </c>
      <c r="L372" s="2">
        <v>2162172</v>
      </c>
      <c r="M372" s="2">
        <v>32744</v>
      </c>
      <c r="N372" s="2"/>
    </row>
    <row r="373" spans="1:14" ht="12.75" x14ac:dyDescent="0.2">
      <c r="A373" s="16" t="s">
        <v>58</v>
      </c>
      <c r="B373" s="2">
        <v>36256</v>
      </c>
      <c r="C373" s="2">
        <v>1949</v>
      </c>
      <c r="D373" s="2">
        <v>262487</v>
      </c>
      <c r="E373" s="2">
        <v>69055</v>
      </c>
      <c r="F373" s="2">
        <v>484747</v>
      </c>
      <c r="G373" s="2">
        <v>211818</v>
      </c>
      <c r="H373" s="2">
        <v>1003583</v>
      </c>
      <c r="I373" s="2">
        <v>15233</v>
      </c>
      <c r="J373" s="2">
        <v>8438</v>
      </c>
      <c r="K373" s="2">
        <v>84150</v>
      </c>
      <c r="L373" s="2">
        <v>2175767</v>
      </c>
      <c r="M373" s="2">
        <v>32487</v>
      </c>
      <c r="N373" s="2"/>
    </row>
    <row r="374" spans="1:14" ht="12.75" x14ac:dyDescent="0.2">
      <c r="A374" s="16" t="s">
        <v>59</v>
      </c>
      <c r="B374" s="2">
        <v>38850</v>
      </c>
      <c r="C374" s="2">
        <v>1945</v>
      </c>
      <c r="D374" s="2">
        <v>265532</v>
      </c>
      <c r="E374" s="2">
        <v>71107</v>
      </c>
      <c r="F374" s="2">
        <v>531989</v>
      </c>
      <c r="G374" s="2">
        <v>207700</v>
      </c>
      <c r="H374" s="2">
        <v>1009726</v>
      </c>
      <c r="I374" s="2">
        <v>15572</v>
      </c>
      <c r="J374" s="2">
        <v>12188</v>
      </c>
      <c r="K374" s="2">
        <v>85942</v>
      </c>
      <c r="L374" s="2">
        <v>2238606</v>
      </c>
      <c r="M374" s="2">
        <v>32594</v>
      </c>
      <c r="N374" s="2"/>
    </row>
    <row r="375" spans="1:14" ht="12.75" x14ac:dyDescent="0.2">
      <c r="A375" s="16" t="s">
        <v>60</v>
      </c>
      <c r="B375" s="2">
        <v>39332</v>
      </c>
      <c r="C375" s="2">
        <v>3299</v>
      </c>
      <c r="D375" s="2">
        <v>248766</v>
      </c>
      <c r="E375" s="2">
        <v>66654</v>
      </c>
      <c r="F375" s="2">
        <v>604070</v>
      </c>
      <c r="G375" s="2">
        <v>208218</v>
      </c>
      <c r="H375" s="2">
        <v>1009734</v>
      </c>
      <c r="I375" s="2">
        <v>14694</v>
      </c>
      <c r="J375" s="2">
        <v>11497</v>
      </c>
      <c r="K375" s="2">
        <v>86768</v>
      </c>
      <c r="L375" s="2">
        <v>2289733</v>
      </c>
      <c r="M375" s="2">
        <v>31525</v>
      </c>
      <c r="N375" s="2"/>
    </row>
    <row r="376" spans="1:14" ht="12.75" x14ac:dyDescent="0.2">
      <c r="A376" s="15">
        <v>2013</v>
      </c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4" ht="12.75" x14ac:dyDescent="0.2">
      <c r="A377" s="16" t="s">
        <v>62</v>
      </c>
      <c r="B377" s="2">
        <v>43503</v>
      </c>
      <c r="C377" s="2">
        <v>3843</v>
      </c>
      <c r="D377" s="2">
        <v>247313</v>
      </c>
      <c r="E377" s="2">
        <v>69528</v>
      </c>
      <c r="F377" s="2">
        <v>544380</v>
      </c>
      <c r="G377" s="2">
        <v>214747</v>
      </c>
      <c r="H377" s="2">
        <v>1015822</v>
      </c>
      <c r="I377" s="2">
        <v>15737</v>
      </c>
      <c r="J377" s="2">
        <v>17229</v>
      </c>
      <c r="K377" s="2">
        <v>87326</v>
      </c>
      <c r="L377" s="2">
        <v>2255585</v>
      </c>
      <c r="M377" s="2">
        <v>30726</v>
      </c>
      <c r="N377" s="2"/>
    </row>
    <row r="378" spans="1:14" ht="12.75" x14ac:dyDescent="0.2">
      <c r="A378" s="16" t="s">
        <v>63</v>
      </c>
      <c r="B378" s="2">
        <v>37496</v>
      </c>
      <c r="C378" s="2">
        <v>4021</v>
      </c>
      <c r="D378" s="2">
        <v>257141</v>
      </c>
      <c r="E378" s="2">
        <v>69693</v>
      </c>
      <c r="F378" s="2">
        <v>540463</v>
      </c>
      <c r="G378" s="2">
        <v>216141</v>
      </c>
      <c r="H378" s="2">
        <v>1021860</v>
      </c>
      <c r="I378" s="2">
        <v>15419</v>
      </c>
      <c r="J378" s="2">
        <v>18045</v>
      </c>
      <c r="K378" s="2">
        <v>89802</v>
      </c>
      <c r="L378" s="2">
        <v>2266060</v>
      </c>
      <c r="M378" s="2">
        <v>33223</v>
      </c>
      <c r="N378" s="2"/>
    </row>
    <row r="379" spans="1:14" ht="12.75" x14ac:dyDescent="0.2">
      <c r="A379" s="16" t="s">
        <v>64</v>
      </c>
      <c r="B379" s="2">
        <v>42890</v>
      </c>
      <c r="C379" s="2">
        <v>4495</v>
      </c>
      <c r="D379" s="2">
        <v>266399</v>
      </c>
      <c r="E379" s="2">
        <v>66015</v>
      </c>
      <c r="F379" s="2">
        <v>551471</v>
      </c>
      <c r="G379" s="2">
        <v>219748</v>
      </c>
      <c r="H379" s="2">
        <v>1024834</v>
      </c>
      <c r="I379" s="2">
        <v>14953</v>
      </c>
      <c r="J379" s="2">
        <v>22136</v>
      </c>
      <c r="K379" s="2">
        <v>89535</v>
      </c>
      <c r="L379" s="2">
        <v>2297981</v>
      </c>
      <c r="M379" s="2">
        <v>33379</v>
      </c>
      <c r="N379" s="2"/>
    </row>
    <row r="380" spans="1:14" ht="12.75" x14ac:dyDescent="0.2">
      <c r="A380" s="16" t="s">
        <v>65</v>
      </c>
      <c r="B380" s="2">
        <v>46792</v>
      </c>
      <c r="C380" s="2">
        <v>3743</v>
      </c>
      <c r="D380" s="2">
        <v>269679</v>
      </c>
      <c r="E380" s="2">
        <v>65365</v>
      </c>
      <c r="F380" s="2">
        <v>557341</v>
      </c>
      <c r="G380" s="2">
        <v>225954</v>
      </c>
      <c r="H380" s="2">
        <v>1027626</v>
      </c>
      <c r="I380" s="2">
        <v>15304</v>
      </c>
      <c r="J380" s="2">
        <v>23235</v>
      </c>
      <c r="K380" s="2">
        <v>90403</v>
      </c>
      <c r="L380" s="2">
        <v>2321699</v>
      </c>
      <c r="M380" s="2">
        <v>33779</v>
      </c>
      <c r="N380" s="2"/>
    </row>
    <row r="381" spans="1:14" ht="12.75" x14ac:dyDescent="0.2">
      <c r="A381" s="16" t="s">
        <v>66</v>
      </c>
      <c r="B381" s="2">
        <v>43096</v>
      </c>
      <c r="C381" s="2">
        <v>3186</v>
      </c>
      <c r="D381" s="2">
        <v>268791</v>
      </c>
      <c r="E381" s="2">
        <v>65750</v>
      </c>
      <c r="F381" s="2">
        <v>547287</v>
      </c>
      <c r="G381" s="2">
        <v>225202</v>
      </c>
      <c r="H381" s="2">
        <v>1027399</v>
      </c>
      <c r="I381" s="2">
        <v>16480</v>
      </c>
      <c r="J381" s="2">
        <v>10066</v>
      </c>
      <c r="K381" s="2">
        <v>99368</v>
      </c>
      <c r="L381" s="2">
        <v>2303439</v>
      </c>
      <c r="M381" s="2">
        <v>31607</v>
      </c>
      <c r="N381" s="2"/>
    </row>
    <row r="382" spans="1:14" ht="12.75" x14ac:dyDescent="0.2">
      <c r="A382" s="16" t="s">
        <v>67</v>
      </c>
      <c r="B382" s="2">
        <v>41532</v>
      </c>
      <c r="C382" s="2">
        <v>2366</v>
      </c>
      <c r="D382" s="2">
        <v>270098</v>
      </c>
      <c r="E382" s="2">
        <v>64963</v>
      </c>
      <c r="F382" s="2">
        <v>544217</v>
      </c>
      <c r="G382" s="2">
        <v>223396</v>
      </c>
      <c r="H382" s="2">
        <v>1038400</v>
      </c>
      <c r="I382" s="2">
        <v>17221</v>
      </c>
      <c r="J382" s="2">
        <v>12034</v>
      </c>
      <c r="K382" s="2">
        <v>104216</v>
      </c>
      <c r="L382" s="2">
        <v>2316077</v>
      </c>
      <c r="M382" s="2">
        <v>31870</v>
      </c>
      <c r="N382" s="2"/>
    </row>
    <row r="383" spans="1:14" ht="12.75" x14ac:dyDescent="0.2">
      <c r="A383" s="16" t="s">
        <v>68</v>
      </c>
      <c r="B383" s="2">
        <v>42682</v>
      </c>
      <c r="C383" s="2">
        <v>2782</v>
      </c>
      <c r="D383" s="2">
        <v>275293</v>
      </c>
      <c r="E383" s="2">
        <v>69817</v>
      </c>
      <c r="F383" s="2">
        <v>576281</v>
      </c>
      <c r="G383" s="2">
        <v>222521</v>
      </c>
      <c r="H383" s="2">
        <v>1017400</v>
      </c>
      <c r="I383" s="2">
        <v>14137</v>
      </c>
      <c r="J383" s="2">
        <v>9967</v>
      </c>
      <c r="K383" s="2">
        <v>103976</v>
      </c>
      <c r="L383" s="2">
        <v>2332074</v>
      </c>
      <c r="M383" s="2">
        <v>31408</v>
      </c>
      <c r="N383" s="2"/>
    </row>
    <row r="384" spans="1:14" ht="12.75" x14ac:dyDescent="0.2">
      <c r="A384" s="16" t="s">
        <v>69</v>
      </c>
      <c r="B384" s="2">
        <v>45463</v>
      </c>
      <c r="C384" s="2">
        <v>2088</v>
      </c>
      <c r="D384" s="2">
        <v>277726</v>
      </c>
      <c r="E384" s="2">
        <v>70195</v>
      </c>
      <c r="F384" s="2">
        <v>569458</v>
      </c>
      <c r="G384" s="2">
        <v>216169</v>
      </c>
      <c r="H384" s="2">
        <v>1008606</v>
      </c>
      <c r="I384" s="2">
        <v>14508</v>
      </c>
      <c r="J384" s="2">
        <v>17118</v>
      </c>
      <c r="K384" s="2">
        <v>104404</v>
      </c>
      <c r="L384" s="2">
        <v>2323647</v>
      </c>
      <c r="M384" s="2">
        <v>31425</v>
      </c>
      <c r="N384" s="2"/>
    </row>
    <row r="385" spans="1:14" ht="12.75" x14ac:dyDescent="0.2">
      <c r="A385" s="16" t="s">
        <v>72</v>
      </c>
      <c r="B385" s="2">
        <v>42375</v>
      </c>
      <c r="C385" s="2">
        <v>2177</v>
      </c>
      <c r="D385" s="2">
        <v>275986</v>
      </c>
      <c r="E385" s="2">
        <v>62570</v>
      </c>
      <c r="F385" s="2">
        <v>554287</v>
      </c>
      <c r="G385" s="2">
        <v>215325</v>
      </c>
      <c r="H385" s="2">
        <v>999486</v>
      </c>
      <c r="I385" s="2">
        <v>14600</v>
      </c>
      <c r="J385" s="2">
        <v>11389</v>
      </c>
      <c r="K385" s="2">
        <v>109051</v>
      </c>
      <c r="L385" s="2">
        <v>2285069</v>
      </c>
      <c r="M385" s="2">
        <v>30720</v>
      </c>
      <c r="N385" s="2"/>
    </row>
    <row r="386" spans="1:14" ht="12.75" x14ac:dyDescent="0.2">
      <c r="A386" s="16" t="s">
        <v>58</v>
      </c>
      <c r="B386" s="2">
        <v>42369</v>
      </c>
      <c r="C386" s="2">
        <v>1775</v>
      </c>
      <c r="D386" s="2">
        <v>267608</v>
      </c>
      <c r="E386" s="2">
        <v>61777</v>
      </c>
      <c r="F386" s="2">
        <v>543903</v>
      </c>
      <c r="G386" s="2">
        <v>216752</v>
      </c>
      <c r="H386" s="2">
        <v>1000101</v>
      </c>
      <c r="I386" s="2">
        <v>14265</v>
      </c>
      <c r="J386" s="2">
        <v>13495</v>
      </c>
      <c r="K386" s="2">
        <v>106571</v>
      </c>
      <c r="L386" s="2">
        <v>2266841</v>
      </c>
      <c r="M386" s="2">
        <v>31808</v>
      </c>
      <c r="N386" s="2"/>
    </row>
    <row r="387" spans="1:14" ht="12.75" x14ac:dyDescent="0.2">
      <c r="A387" s="16" t="s">
        <v>59</v>
      </c>
      <c r="B387" s="2">
        <v>37933</v>
      </c>
      <c r="C387" s="2">
        <v>2236</v>
      </c>
      <c r="D387" s="2">
        <v>271844</v>
      </c>
      <c r="E387" s="2">
        <v>61146</v>
      </c>
      <c r="F387" s="2">
        <v>559124</v>
      </c>
      <c r="G387" s="2">
        <v>213864</v>
      </c>
      <c r="H387" s="2">
        <v>1004821</v>
      </c>
      <c r="I387" s="2">
        <v>14931</v>
      </c>
      <c r="J387" s="2">
        <v>8689</v>
      </c>
      <c r="K387" s="2">
        <v>108575</v>
      </c>
      <c r="L387" s="2">
        <v>2280927</v>
      </c>
      <c r="M387" s="2">
        <v>31695</v>
      </c>
      <c r="N387" s="2"/>
    </row>
    <row r="388" spans="1:14" ht="12.75" x14ac:dyDescent="0.2">
      <c r="A388" s="16" t="s">
        <v>60</v>
      </c>
      <c r="B388" s="2">
        <v>39780</v>
      </c>
      <c r="C388" s="2">
        <v>3399</v>
      </c>
      <c r="D388" s="2">
        <v>272578</v>
      </c>
      <c r="E388" s="2">
        <v>137069</v>
      </c>
      <c r="F388" s="2">
        <v>505653</v>
      </c>
      <c r="G388" s="2">
        <v>213565</v>
      </c>
      <c r="H388" s="2">
        <v>999361</v>
      </c>
      <c r="I388" s="2">
        <v>14519</v>
      </c>
      <c r="J388" s="2">
        <v>12110</v>
      </c>
      <c r="K388" s="2">
        <v>109953</v>
      </c>
      <c r="L388" s="2">
        <v>2304588</v>
      </c>
      <c r="M388" s="2">
        <v>33497</v>
      </c>
      <c r="N388" s="2"/>
    </row>
    <row r="389" spans="1:14" ht="15" customHeight="1" x14ac:dyDescent="0.2">
      <c r="A389" s="15" t="s">
        <v>61</v>
      </c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4" ht="12.75" x14ac:dyDescent="0.2">
      <c r="A390" s="16" t="s">
        <v>62</v>
      </c>
      <c r="B390" s="2">
        <v>44392</v>
      </c>
      <c r="C390" s="2">
        <v>2473</v>
      </c>
      <c r="D390" s="2">
        <v>285451</v>
      </c>
      <c r="E390" s="2">
        <v>134846</v>
      </c>
      <c r="F390" s="2">
        <v>514014</v>
      </c>
      <c r="G390" s="2">
        <v>215016</v>
      </c>
      <c r="H390" s="2">
        <v>1008065</v>
      </c>
      <c r="I390" s="2">
        <v>15313</v>
      </c>
      <c r="J390" s="2">
        <v>9695</v>
      </c>
      <c r="K390" s="2">
        <v>108216</v>
      </c>
      <c r="L390" s="2">
        <v>2335008</v>
      </c>
      <c r="M390" s="2">
        <v>33261</v>
      </c>
    </row>
    <row r="391" spans="1:14" ht="12.75" x14ac:dyDescent="0.2">
      <c r="A391" s="16" t="s">
        <v>63</v>
      </c>
      <c r="B391" s="2">
        <v>37495</v>
      </c>
      <c r="C391" s="2">
        <v>2041</v>
      </c>
      <c r="D391" s="2">
        <v>292061</v>
      </c>
      <c r="E391" s="2">
        <v>137829</v>
      </c>
      <c r="F391" s="2">
        <v>528461</v>
      </c>
      <c r="G391" s="2">
        <v>224024</v>
      </c>
      <c r="H391" s="2">
        <v>1010762</v>
      </c>
      <c r="I391" s="2">
        <v>15343</v>
      </c>
      <c r="J391" s="2">
        <v>16307</v>
      </c>
      <c r="K391" s="2">
        <v>106928</v>
      </c>
      <c r="L391" s="2">
        <v>2369210</v>
      </c>
      <c r="M391" s="2">
        <v>33572</v>
      </c>
      <c r="N391" s="2"/>
    </row>
    <row r="392" spans="1:14" ht="12.75" x14ac:dyDescent="0.2">
      <c r="A392" s="16" t="s">
        <v>64</v>
      </c>
      <c r="B392" s="2">
        <v>49174</v>
      </c>
      <c r="C392" s="2">
        <v>2334</v>
      </c>
      <c r="D392" s="2">
        <v>295852</v>
      </c>
      <c r="E392" s="2">
        <v>136522</v>
      </c>
      <c r="F392" s="2">
        <v>557465</v>
      </c>
      <c r="G392" s="2">
        <v>232577</v>
      </c>
      <c r="H392" s="2">
        <v>1011471</v>
      </c>
      <c r="I392" s="2">
        <v>14765</v>
      </c>
      <c r="J392" s="2">
        <v>8648</v>
      </c>
      <c r="K392" s="2">
        <v>108227</v>
      </c>
      <c r="L392" s="2">
        <v>2414701</v>
      </c>
      <c r="M392" s="2">
        <v>33874</v>
      </c>
    </row>
    <row r="393" spans="1:14" ht="12.75" x14ac:dyDescent="0.2">
      <c r="A393" s="16" t="s">
        <v>65</v>
      </c>
      <c r="B393" s="2">
        <v>47244</v>
      </c>
      <c r="C393" s="2">
        <v>2175</v>
      </c>
      <c r="D393" s="2">
        <v>290920</v>
      </c>
      <c r="E393" s="2">
        <v>130831</v>
      </c>
      <c r="F393" s="2">
        <v>559869</v>
      </c>
      <c r="G393" s="2">
        <v>237838</v>
      </c>
      <c r="H393" s="2">
        <v>1015602</v>
      </c>
      <c r="I393" s="2">
        <v>14713</v>
      </c>
      <c r="J393" s="2">
        <v>10700</v>
      </c>
      <c r="K393" s="2">
        <v>105890</v>
      </c>
      <c r="L393" s="2">
        <v>2413607</v>
      </c>
      <c r="M393" s="2">
        <v>34307</v>
      </c>
    </row>
    <row r="394" spans="1:14" ht="12.75" x14ac:dyDescent="0.2">
      <c r="A394" s="16" t="s">
        <v>66</v>
      </c>
      <c r="B394" s="2">
        <v>40949</v>
      </c>
      <c r="C394" s="2">
        <v>1075</v>
      </c>
      <c r="D394" s="2">
        <v>292144</v>
      </c>
      <c r="E394" s="2">
        <v>126026</v>
      </c>
      <c r="F394" s="2">
        <v>556456</v>
      </c>
      <c r="G394" s="2">
        <v>238067</v>
      </c>
      <c r="H394" s="2">
        <v>1010878</v>
      </c>
      <c r="I394" s="2">
        <v>15077</v>
      </c>
      <c r="J394" s="2">
        <v>6545</v>
      </c>
      <c r="K394" s="2">
        <v>107892</v>
      </c>
      <c r="L394" s="2">
        <v>2394034</v>
      </c>
      <c r="M394" s="2">
        <v>35343</v>
      </c>
    </row>
    <row r="395" spans="1:14" ht="12.75" x14ac:dyDescent="0.2">
      <c r="A395" s="16" t="s">
        <v>67</v>
      </c>
      <c r="B395" s="2">
        <v>52784</v>
      </c>
      <c r="C395" s="2">
        <v>990</v>
      </c>
      <c r="D395" s="2">
        <v>297680</v>
      </c>
      <c r="E395" s="2">
        <v>133335.91999999998</v>
      </c>
      <c r="F395" s="2">
        <v>575670</v>
      </c>
      <c r="G395" s="2">
        <v>235707</v>
      </c>
      <c r="H395" s="2">
        <v>1009463.17</v>
      </c>
      <c r="I395" s="2">
        <v>14527</v>
      </c>
      <c r="J395" s="2">
        <v>12392</v>
      </c>
      <c r="K395" s="2">
        <v>108961.95</v>
      </c>
      <c r="L395" s="2">
        <v>2440521.04</v>
      </c>
      <c r="M395" s="2">
        <v>34899</v>
      </c>
    </row>
    <row r="396" spans="1:14" ht="12.75" x14ac:dyDescent="0.2">
      <c r="A396" s="16" t="s">
        <v>68</v>
      </c>
      <c r="B396" s="2">
        <v>51104</v>
      </c>
      <c r="C396" s="2">
        <v>940</v>
      </c>
      <c r="D396" s="2">
        <v>303774</v>
      </c>
      <c r="E396" s="2">
        <v>142853</v>
      </c>
      <c r="F396" s="2">
        <v>554741</v>
      </c>
      <c r="G396" s="2">
        <v>236859</v>
      </c>
      <c r="H396" s="2">
        <v>1015927</v>
      </c>
      <c r="I396" s="2">
        <v>13830</v>
      </c>
      <c r="J396" s="2">
        <v>7655</v>
      </c>
      <c r="K396" s="2">
        <v>107111</v>
      </c>
      <c r="L396" s="2">
        <v>2433854</v>
      </c>
      <c r="M396" s="2">
        <v>34837</v>
      </c>
    </row>
    <row r="397" spans="1:14" ht="12.75" x14ac:dyDescent="0.2">
      <c r="A397" s="16" t="s">
        <v>69</v>
      </c>
      <c r="B397" s="2">
        <v>42981</v>
      </c>
      <c r="C397" s="2">
        <v>948</v>
      </c>
      <c r="D397" s="2">
        <v>305217</v>
      </c>
      <c r="E397" s="2">
        <v>151672</v>
      </c>
      <c r="F397" s="2">
        <v>555871</v>
      </c>
      <c r="G397" s="2">
        <v>235422</v>
      </c>
      <c r="H397" s="2">
        <v>1021270</v>
      </c>
      <c r="I397" s="2">
        <v>14065</v>
      </c>
      <c r="J397" s="2">
        <v>11558</v>
      </c>
      <c r="K397" s="2">
        <v>112464</v>
      </c>
      <c r="L397" s="2">
        <v>2450520</v>
      </c>
      <c r="M397" s="2">
        <v>35617</v>
      </c>
    </row>
    <row r="398" spans="1:14" ht="12.75" x14ac:dyDescent="0.2">
      <c r="A398" s="16" t="s">
        <v>72</v>
      </c>
      <c r="B398" s="2">
        <v>43577</v>
      </c>
      <c r="C398" s="2">
        <v>987</v>
      </c>
      <c r="D398" s="2">
        <v>307834</v>
      </c>
      <c r="E398" s="2">
        <v>153925</v>
      </c>
      <c r="F398" s="2">
        <v>533664</v>
      </c>
      <c r="G398" s="2">
        <v>236674</v>
      </c>
      <c r="H398" s="2">
        <v>1018280</v>
      </c>
      <c r="I398" s="2">
        <v>14084</v>
      </c>
      <c r="J398" s="2">
        <v>10173</v>
      </c>
      <c r="K398" s="2">
        <v>110850</v>
      </c>
      <c r="L398" s="2">
        <v>2429061</v>
      </c>
      <c r="M398" s="2">
        <v>35031</v>
      </c>
    </row>
    <row r="399" spans="1:14" ht="12.75" x14ac:dyDescent="0.2">
      <c r="A399" s="16" t="s">
        <v>58</v>
      </c>
      <c r="B399" s="2">
        <v>44298</v>
      </c>
      <c r="C399" s="2">
        <v>1022</v>
      </c>
      <c r="D399" s="2">
        <v>312046</v>
      </c>
      <c r="E399" s="2">
        <v>146725</v>
      </c>
      <c r="F399" s="2">
        <v>545618</v>
      </c>
      <c r="G399" s="2">
        <v>238774</v>
      </c>
      <c r="H399" s="2">
        <v>1026560</v>
      </c>
      <c r="I399" s="2">
        <v>14443</v>
      </c>
      <c r="J399" s="2">
        <v>6682</v>
      </c>
      <c r="K399" s="2">
        <v>114647</v>
      </c>
      <c r="L399" s="2">
        <v>2449793</v>
      </c>
      <c r="M399" s="2">
        <v>35552</v>
      </c>
    </row>
    <row r="400" spans="1:14" ht="12.75" x14ac:dyDescent="0.2">
      <c r="A400" s="16" t="s">
        <v>59</v>
      </c>
      <c r="B400" s="2">
        <v>44732</v>
      </c>
      <c r="C400" s="2">
        <v>720</v>
      </c>
      <c r="D400" s="2">
        <v>313797</v>
      </c>
      <c r="E400" s="2">
        <v>148683</v>
      </c>
      <c r="F400" s="2">
        <v>534383</v>
      </c>
      <c r="G400" s="2">
        <v>237216</v>
      </c>
      <c r="H400" s="2">
        <v>1032563</v>
      </c>
      <c r="I400" s="2">
        <v>14855</v>
      </c>
      <c r="J400" s="2">
        <v>12777</v>
      </c>
      <c r="K400" s="2">
        <v>116858</v>
      </c>
      <c r="L400" s="2">
        <v>2455864</v>
      </c>
      <c r="M400" s="2">
        <v>35435</v>
      </c>
    </row>
    <row r="401" spans="1:13" ht="12.75" x14ac:dyDescent="0.2">
      <c r="A401" s="16" t="s">
        <v>60</v>
      </c>
      <c r="B401" s="2">
        <v>41482</v>
      </c>
      <c r="C401" s="2">
        <v>2381</v>
      </c>
      <c r="D401" s="2">
        <v>317874</v>
      </c>
      <c r="E401" s="2">
        <v>150083</v>
      </c>
      <c r="F401" s="2">
        <v>561935</v>
      </c>
      <c r="G401" s="2">
        <v>235664</v>
      </c>
      <c r="H401" s="2">
        <v>1030106</v>
      </c>
      <c r="I401" s="2">
        <v>15270</v>
      </c>
      <c r="J401" s="2">
        <v>11332</v>
      </c>
      <c r="K401" s="2">
        <v>112308</v>
      </c>
      <c r="L401" s="2">
        <v>2476054</v>
      </c>
      <c r="M401" s="2">
        <v>35665</v>
      </c>
    </row>
    <row r="402" spans="1:13" ht="12.75" x14ac:dyDescent="0.2">
      <c r="A402" s="15" t="s">
        <v>75</v>
      </c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ht="12.75" x14ac:dyDescent="0.2">
      <c r="A403" s="16" t="s">
        <v>62</v>
      </c>
      <c r="B403" s="2">
        <v>45547</v>
      </c>
      <c r="C403" s="2">
        <v>1137</v>
      </c>
      <c r="D403" s="2">
        <v>318291</v>
      </c>
      <c r="E403" s="2">
        <v>150750</v>
      </c>
      <c r="F403" s="2">
        <v>558793</v>
      </c>
      <c r="G403" s="2">
        <v>238891</v>
      </c>
      <c r="H403" s="2">
        <v>1035047</v>
      </c>
      <c r="I403" s="2">
        <v>16444</v>
      </c>
      <c r="J403" s="2">
        <v>7108</v>
      </c>
      <c r="K403" s="2">
        <v>112401</v>
      </c>
      <c r="L403" s="2">
        <v>2483272</v>
      </c>
      <c r="M403" s="2">
        <v>35592</v>
      </c>
    </row>
    <row r="404" spans="1:13" ht="12.75" x14ac:dyDescent="0.2">
      <c r="A404" s="16" t="s">
        <v>63</v>
      </c>
      <c r="B404" s="2">
        <v>45747</v>
      </c>
      <c r="C404" s="2">
        <v>1488</v>
      </c>
      <c r="D404" s="2">
        <v>325029</v>
      </c>
      <c r="E404" s="2">
        <v>146690</v>
      </c>
      <c r="F404" s="2">
        <v>575027</v>
      </c>
      <c r="G404" s="2">
        <v>244360</v>
      </c>
      <c r="H404" s="2">
        <v>1044041</v>
      </c>
      <c r="I404" s="2">
        <v>16831</v>
      </c>
      <c r="J404" s="2">
        <v>5264</v>
      </c>
      <c r="K404" s="2">
        <v>111559</v>
      </c>
      <c r="L404" s="2">
        <v>2514374</v>
      </c>
      <c r="M404" s="2">
        <v>35667</v>
      </c>
    </row>
    <row r="405" spans="1:13" ht="12.75" x14ac:dyDescent="0.2">
      <c r="A405" s="16" t="s">
        <v>64</v>
      </c>
      <c r="B405" s="2">
        <v>45215</v>
      </c>
      <c r="C405" s="2">
        <v>2405</v>
      </c>
      <c r="D405" s="2">
        <v>387974</v>
      </c>
      <c r="E405" s="2">
        <v>140003</v>
      </c>
      <c r="F405" s="2">
        <v>603802</v>
      </c>
      <c r="G405" s="2">
        <v>249807</v>
      </c>
      <c r="H405" s="2">
        <v>1044724</v>
      </c>
      <c r="I405" s="2">
        <v>17083</v>
      </c>
      <c r="J405" s="2">
        <v>4718</v>
      </c>
      <c r="K405" s="2">
        <v>112897</v>
      </c>
      <c r="L405" s="2">
        <v>2606223</v>
      </c>
      <c r="M405" s="2">
        <v>36568</v>
      </c>
    </row>
    <row r="406" spans="1:13" ht="12.75" x14ac:dyDescent="0.2">
      <c r="A406" s="16" t="s">
        <v>65</v>
      </c>
      <c r="B406" s="2">
        <v>37847</v>
      </c>
      <c r="C406" s="2">
        <v>1380</v>
      </c>
      <c r="D406" s="2">
        <v>335936</v>
      </c>
      <c r="E406" s="2">
        <v>144527</v>
      </c>
      <c r="F406" s="2">
        <v>598788</v>
      </c>
      <c r="G406" s="2">
        <v>256369</v>
      </c>
      <c r="H406" s="2">
        <v>1053512</v>
      </c>
      <c r="I406" s="2">
        <v>16292</v>
      </c>
      <c r="J406" s="2">
        <v>6210</v>
      </c>
      <c r="K406" s="2">
        <v>115184</v>
      </c>
      <c r="L406" s="2">
        <v>2571291</v>
      </c>
      <c r="M406" s="2">
        <v>38224</v>
      </c>
    </row>
    <row r="407" spans="1:13" ht="12.75" x14ac:dyDescent="0.2">
      <c r="A407" s="16" t="s">
        <v>66</v>
      </c>
      <c r="B407" s="2">
        <v>48077</v>
      </c>
      <c r="C407" s="2">
        <v>1327</v>
      </c>
      <c r="D407" s="2">
        <v>331908</v>
      </c>
      <c r="E407" s="2">
        <v>138864</v>
      </c>
      <c r="F407" s="2">
        <v>601551</v>
      </c>
      <c r="G407" s="2">
        <v>255658</v>
      </c>
      <c r="H407" s="2">
        <v>1060854</v>
      </c>
      <c r="I407" s="2">
        <v>17412</v>
      </c>
      <c r="J407" s="2">
        <v>4112</v>
      </c>
      <c r="K407" s="2">
        <v>118711</v>
      </c>
      <c r="L407" s="2">
        <v>2583773</v>
      </c>
      <c r="M407" s="2">
        <v>37641</v>
      </c>
    </row>
    <row r="408" spans="1:13" ht="12.75" x14ac:dyDescent="0.2">
      <c r="A408" s="16" t="s">
        <v>67</v>
      </c>
      <c r="B408" s="2">
        <v>46638</v>
      </c>
      <c r="C408" s="2">
        <v>1091</v>
      </c>
      <c r="D408" s="2">
        <v>340921</v>
      </c>
      <c r="E408" s="2">
        <v>141799</v>
      </c>
      <c r="F408" s="2">
        <v>605779</v>
      </c>
      <c r="G408" s="2">
        <v>256563</v>
      </c>
      <c r="H408" s="2">
        <v>1056577</v>
      </c>
      <c r="I408" s="2">
        <v>17568</v>
      </c>
      <c r="J408" s="2">
        <v>6517</v>
      </c>
      <c r="K408" s="2">
        <v>118641</v>
      </c>
      <c r="L408" s="2">
        <v>2597629</v>
      </c>
      <c r="M408" s="2">
        <v>37320</v>
      </c>
    </row>
    <row r="409" spans="1:13" ht="12.75" x14ac:dyDescent="0.2">
      <c r="A409" s="16" t="s">
        <v>68</v>
      </c>
      <c r="B409" s="2">
        <v>41938</v>
      </c>
      <c r="C409" s="2">
        <v>1448</v>
      </c>
      <c r="D409" s="2">
        <v>335343</v>
      </c>
      <c r="E409" s="2">
        <v>143575</v>
      </c>
      <c r="F409" s="2">
        <v>602330</v>
      </c>
      <c r="G409" s="2">
        <v>254930</v>
      </c>
      <c r="H409" s="2">
        <v>1067982</v>
      </c>
      <c r="I409" s="2">
        <v>18050</v>
      </c>
      <c r="J409" s="2">
        <v>8604</v>
      </c>
      <c r="K409" s="2">
        <v>121356</v>
      </c>
      <c r="L409" s="2">
        <v>2600734</v>
      </c>
      <c r="M409" s="2">
        <v>37380</v>
      </c>
    </row>
    <row r="410" spans="1:13" ht="12.75" x14ac:dyDescent="0.2">
      <c r="A410" s="16" t="s">
        <v>69</v>
      </c>
      <c r="B410" s="2">
        <v>44324</v>
      </c>
      <c r="C410" s="2">
        <v>1530</v>
      </c>
      <c r="D410" s="2">
        <v>354192</v>
      </c>
      <c r="E410" s="2">
        <v>125824</v>
      </c>
      <c r="F410" s="2">
        <v>613021</v>
      </c>
      <c r="G410" s="2">
        <v>259618</v>
      </c>
      <c r="H410" s="2">
        <v>1060554</v>
      </c>
      <c r="I410" s="2">
        <v>17948</v>
      </c>
      <c r="J410" s="2">
        <v>11622</v>
      </c>
      <c r="K410" s="2">
        <v>118330</v>
      </c>
      <c r="L410" s="2">
        <v>2605433</v>
      </c>
      <c r="M410" s="2">
        <v>37845</v>
      </c>
    </row>
    <row r="411" spans="1:13" ht="12.75" x14ac:dyDescent="0.2">
      <c r="A411" s="16" t="s">
        <v>72</v>
      </c>
      <c r="B411" s="2">
        <v>41235</v>
      </c>
      <c r="C411" s="2">
        <v>2587</v>
      </c>
      <c r="D411" s="2">
        <v>328319</v>
      </c>
      <c r="E411" s="2">
        <v>122462</v>
      </c>
      <c r="F411" s="2">
        <v>626004</v>
      </c>
      <c r="G411" s="2">
        <v>261064</v>
      </c>
      <c r="H411" s="2">
        <v>1061274</v>
      </c>
      <c r="I411" s="2">
        <v>17968</v>
      </c>
      <c r="J411" s="2">
        <v>9709</v>
      </c>
      <c r="K411" s="2">
        <v>119867</v>
      </c>
      <c r="L411" s="2">
        <v>2587902</v>
      </c>
      <c r="M411" s="2">
        <v>37474</v>
      </c>
    </row>
    <row r="412" spans="1:13" ht="12.75" x14ac:dyDescent="0.2">
      <c r="A412" s="16" t="s">
        <v>58</v>
      </c>
      <c r="B412" s="2">
        <v>43474</v>
      </c>
      <c r="C412" s="2">
        <v>11147</v>
      </c>
      <c r="D412" s="2">
        <v>303604</v>
      </c>
      <c r="E412" s="2">
        <v>116425</v>
      </c>
      <c r="F412" s="2">
        <v>627876</v>
      </c>
      <c r="G412" s="2">
        <v>260296</v>
      </c>
      <c r="H412" s="2">
        <v>1075192</v>
      </c>
      <c r="I412" s="2">
        <v>19283</v>
      </c>
      <c r="J412" s="2">
        <v>4695</v>
      </c>
      <c r="K412" s="2">
        <v>123751</v>
      </c>
      <c r="L412" s="2">
        <v>2574596</v>
      </c>
      <c r="M412" s="2">
        <v>37769</v>
      </c>
    </row>
    <row r="413" spans="1:13" ht="12.75" x14ac:dyDescent="0.2">
      <c r="A413" s="16" t="s">
        <v>59</v>
      </c>
      <c r="B413" s="2">
        <v>36668</v>
      </c>
      <c r="C413" s="2">
        <v>2651</v>
      </c>
      <c r="D413" s="2">
        <v>307363</v>
      </c>
      <c r="E413" s="2">
        <v>121638</v>
      </c>
      <c r="F413" s="2">
        <v>640963</v>
      </c>
      <c r="G413" s="2">
        <v>262420</v>
      </c>
      <c r="H413" s="2">
        <v>1068950</v>
      </c>
      <c r="I413" s="2">
        <v>19236</v>
      </c>
      <c r="J413" s="2">
        <v>4254</v>
      </c>
      <c r="K413" s="2">
        <v>120252</v>
      </c>
      <c r="L413" s="2">
        <v>2581744</v>
      </c>
      <c r="M413" s="2">
        <v>37144</v>
      </c>
    </row>
    <row r="414" spans="1:13" ht="12.75" x14ac:dyDescent="0.2">
      <c r="A414" s="16" t="s">
        <v>60</v>
      </c>
      <c r="B414" s="2">
        <v>45476</v>
      </c>
      <c r="C414" s="2">
        <v>3852</v>
      </c>
      <c r="D414" s="2">
        <v>299691</v>
      </c>
      <c r="E414" s="2">
        <v>118622</v>
      </c>
      <c r="F414" s="2">
        <v>680845</v>
      </c>
      <c r="G414" s="2">
        <v>260756</v>
      </c>
      <c r="H414" s="2">
        <v>1077402</v>
      </c>
      <c r="I414" s="2">
        <v>19373</v>
      </c>
      <c r="J414" s="2">
        <v>5027</v>
      </c>
      <c r="K414" s="2">
        <v>121023</v>
      </c>
      <c r="L414" s="2">
        <v>2628215</v>
      </c>
      <c r="M414" s="2">
        <v>38082</v>
      </c>
    </row>
    <row r="415" spans="1:13" ht="12.75" x14ac:dyDescent="0.2">
      <c r="A415" s="15" t="s">
        <v>77</v>
      </c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ht="12.75" x14ac:dyDescent="0.2">
      <c r="A416" s="16" t="s">
        <v>62</v>
      </c>
      <c r="B416" s="2">
        <v>46462</v>
      </c>
      <c r="C416" s="2">
        <v>6862</v>
      </c>
      <c r="D416" s="2">
        <v>280539</v>
      </c>
      <c r="E416" s="2">
        <v>122006</v>
      </c>
      <c r="F416" s="2">
        <v>675519</v>
      </c>
      <c r="G416" s="2">
        <v>267416</v>
      </c>
      <c r="H416" s="2">
        <v>1090144</v>
      </c>
      <c r="I416" s="2">
        <v>19771</v>
      </c>
      <c r="J416" s="2">
        <v>4603</v>
      </c>
      <c r="K416" s="2">
        <v>124421</v>
      </c>
      <c r="L416" s="2">
        <v>2630881</v>
      </c>
      <c r="M416" s="2">
        <v>36443</v>
      </c>
    </row>
    <row r="417" spans="1:13" ht="12.75" x14ac:dyDescent="0.2">
      <c r="A417" s="16" t="s">
        <v>63</v>
      </c>
      <c r="B417" s="2">
        <v>39908</v>
      </c>
      <c r="C417" s="2">
        <v>6321</v>
      </c>
      <c r="D417" s="2">
        <v>294274</v>
      </c>
      <c r="E417" s="2">
        <v>128463</v>
      </c>
      <c r="F417" s="2">
        <v>685551</v>
      </c>
      <c r="G417" s="2">
        <v>274626</v>
      </c>
      <c r="H417" s="2">
        <v>1098961</v>
      </c>
      <c r="I417" s="2">
        <v>25369</v>
      </c>
      <c r="J417" s="2">
        <v>8825</v>
      </c>
      <c r="K417" s="2">
        <v>114851</v>
      </c>
      <c r="L417" s="2">
        <v>2670828</v>
      </c>
      <c r="M417" s="2">
        <v>29265</v>
      </c>
    </row>
    <row r="418" spans="1:13" ht="12.75" x14ac:dyDescent="0.2">
      <c r="A418" s="16" t="s">
        <v>64</v>
      </c>
      <c r="B418" s="2">
        <v>25936</v>
      </c>
      <c r="C418" s="2">
        <v>3365</v>
      </c>
      <c r="D418" s="2">
        <v>303920</v>
      </c>
      <c r="E418" s="2">
        <v>132677</v>
      </c>
      <c r="F418" s="2">
        <v>726623</v>
      </c>
      <c r="G418" s="2">
        <v>284629</v>
      </c>
      <c r="H418" s="2">
        <v>1100959</v>
      </c>
      <c r="I418" s="2">
        <v>23919</v>
      </c>
      <c r="J418" s="2">
        <v>6202</v>
      </c>
      <c r="K418" s="2">
        <v>110749</v>
      </c>
      <c r="L418" s="2">
        <v>2715614</v>
      </c>
      <c r="M418" s="2">
        <v>29505</v>
      </c>
    </row>
    <row r="419" spans="1:13" ht="12.75" x14ac:dyDescent="0.2">
      <c r="A419" s="16" t="s">
        <v>65</v>
      </c>
      <c r="B419" s="2">
        <v>29972</v>
      </c>
      <c r="C419" s="2">
        <v>2863</v>
      </c>
      <c r="D419" s="2">
        <v>293861</v>
      </c>
      <c r="E419" s="2">
        <v>132369</v>
      </c>
      <c r="F419" s="2">
        <v>726939</v>
      </c>
      <c r="G419" s="2">
        <v>285825</v>
      </c>
      <c r="H419" s="2">
        <v>1108717</v>
      </c>
      <c r="I419" s="2">
        <v>22839</v>
      </c>
      <c r="J419" s="2">
        <v>9557</v>
      </c>
      <c r="K419" s="2">
        <v>113442</v>
      </c>
      <c r="L419" s="2">
        <v>2723521</v>
      </c>
      <c r="M419" s="2">
        <v>29884</v>
      </c>
    </row>
    <row r="420" spans="1:13" ht="12.75" x14ac:dyDescent="0.2">
      <c r="A420" s="16" t="s">
        <v>66</v>
      </c>
      <c r="B420" s="2">
        <v>33998</v>
      </c>
      <c r="C420" s="2">
        <v>2389</v>
      </c>
      <c r="D420" s="2">
        <v>305592</v>
      </c>
      <c r="E420" s="2">
        <v>141433</v>
      </c>
      <c r="F420" s="2">
        <v>717884</v>
      </c>
      <c r="G420" s="2">
        <v>284229</v>
      </c>
      <c r="H420" s="2">
        <v>1102160</v>
      </c>
      <c r="I420" s="2">
        <v>22491</v>
      </c>
      <c r="J420" s="2">
        <v>9426</v>
      </c>
      <c r="K420" s="2">
        <v>110914</v>
      </c>
      <c r="L420" s="2">
        <v>2728127</v>
      </c>
      <c r="M420" s="2">
        <v>28174</v>
      </c>
    </row>
    <row r="421" spans="1:13" ht="12.75" x14ac:dyDescent="0.2">
      <c r="A421" s="16" t="s">
        <v>67</v>
      </c>
      <c r="B421" s="2">
        <v>30368</v>
      </c>
      <c r="C421" s="2">
        <v>1972</v>
      </c>
      <c r="D421" s="2">
        <v>305403</v>
      </c>
      <c r="E421" s="2">
        <v>142365</v>
      </c>
      <c r="F421" s="2">
        <v>733529</v>
      </c>
      <c r="G421" s="2">
        <v>283914</v>
      </c>
      <c r="H421" s="2">
        <v>1100653</v>
      </c>
      <c r="I421" s="2">
        <v>23693</v>
      </c>
      <c r="J421" s="2">
        <v>10151</v>
      </c>
      <c r="K421" s="2">
        <v>115505</v>
      </c>
      <c r="L421" s="2">
        <v>2745581</v>
      </c>
      <c r="M421" s="2">
        <v>29225</v>
      </c>
    </row>
    <row r="422" spans="1:13" ht="12.75" x14ac:dyDescent="0.2">
      <c r="A422" s="16" t="s">
        <v>68</v>
      </c>
      <c r="B422" s="2">
        <v>31716</v>
      </c>
      <c r="C422" s="2">
        <v>2153</v>
      </c>
      <c r="D422" s="2">
        <v>285398</v>
      </c>
      <c r="E422" s="2">
        <v>111454</v>
      </c>
      <c r="F422" s="2">
        <v>841540</v>
      </c>
      <c r="G422" s="2">
        <v>281172</v>
      </c>
      <c r="H422" s="2">
        <v>1105833</v>
      </c>
      <c r="I422" s="2">
        <v>24374</v>
      </c>
      <c r="J422" s="2">
        <v>4919</v>
      </c>
      <c r="K422" s="2">
        <v>117776</v>
      </c>
      <c r="L422" s="2">
        <v>2804182</v>
      </c>
      <c r="M422" s="2">
        <v>29203</v>
      </c>
    </row>
    <row r="423" spans="1:13" ht="12.75" x14ac:dyDescent="0.2">
      <c r="A423" s="16" t="s">
        <v>69</v>
      </c>
      <c r="B423" s="2">
        <v>29823</v>
      </c>
      <c r="C423" s="2">
        <v>2266</v>
      </c>
      <c r="D423" s="2">
        <v>273811</v>
      </c>
      <c r="E423" s="2">
        <v>97469</v>
      </c>
      <c r="F423" s="2">
        <v>882622</v>
      </c>
      <c r="G423" s="2">
        <v>279004</v>
      </c>
      <c r="H423" s="2">
        <v>1084550</v>
      </c>
      <c r="I423" s="2">
        <v>23823</v>
      </c>
      <c r="J423" s="2">
        <v>9679</v>
      </c>
      <c r="K423" s="2">
        <v>114520</v>
      </c>
      <c r="L423" s="2">
        <v>2795301</v>
      </c>
      <c r="M423" s="2">
        <v>28767</v>
      </c>
    </row>
    <row r="424" spans="1:13" ht="12.75" x14ac:dyDescent="0.2">
      <c r="A424" s="16" t="s">
        <v>72</v>
      </c>
      <c r="B424" s="2">
        <v>32499</v>
      </c>
      <c r="C424" s="2">
        <v>1935</v>
      </c>
      <c r="D424" s="2">
        <v>277289</v>
      </c>
      <c r="E424" s="2">
        <v>101556</v>
      </c>
      <c r="F424" s="2">
        <v>871734</v>
      </c>
      <c r="G424" s="2">
        <v>281422</v>
      </c>
      <c r="H424" s="2">
        <v>1071409</v>
      </c>
      <c r="I424" s="2">
        <v>22604</v>
      </c>
      <c r="J424" s="2">
        <v>9120</v>
      </c>
      <c r="K424" s="2">
        <v>127205</v>
      </c>
      <c r="L424" s="2">
        <v>2794838</v>
      </c>
      <c r="M424" s="2">
        <v>40393</v>
      </c>
    </row>
    <row r="425" spans="1:13" ht="12.75" x14ac:dyDescent="0.2">
      <c r="A425" s="16" t="s">
        <v>58</v>
      </c>
      <c r="B425" s="2">
        <v>27152</v>
      </c>
      <c r="C425" s="2">
        <v>1875</v>
      </c>
      <c r="D425" s="2">
        <v>274569</v>
      </c>
      <c r="E425" s="2">
        <v>100621</v>
      </c>
      <c r="F425" s="2">
        <v>750514</v>
      </c>
      <c r="G425" s="2">
        <v>285476</v>
      </c>
      <c r="H425" s="2">
        <v>1071850</v>
      </c>
      <c r="I425" s="2">
        <v>22157</v>
      </c>
      <c r="J425" s="2">
        <v>6696</v>
      </c>
      <c r="K425" s="2">
        <v>123436</v>
      </c>
      <c r="L425" s="2">
        <v>2662471</v>
      </c>
      <c r="M425" s="2">
        <v>39329</v>
      </c>
    </row>
    <row r="426" spans="1:13" ht="12.75" x14ac:dyDescent="0.2">
      <c r="A426" s="16" t="s">
        <v>59</v>
      </c>
      <c r="B426" s="2">
        <v>26930</v>
      </c>
      <c r="C426" s="2">
        <v>3008</v>
      </c>
      <c r="D426" s="2">
        <v>276087</v>
      </c>
      <c r="E426" s="2">
        <v>97894</v>
      </c>
      <c r="F426" s="2">
        <v>757368</v>
      </c>
      <c r="G426" s="2">
        <v>282636</v>
      </c>
      <c r="H426" s="2">
        <v>1066423</v>
      </c>
      <c r="I426" s="2">
        <v>21261</v>
      </c>
      <c r="J426" s="2">
        <v>5388</v>
      </c>
      <c r="K426" s="2">
        <v>143151</v>
      </c>
      <c r="L426" s="2">
        <v>2677138</v>
      </c>
      <c r="M426" s="2">
        <v>60028</v>
      </c>
    </row>
    <row r="427" spans="1:13" ht="12.75" x14ac:dyDescent="0.2">
      <c r="A427" s="16" t="s">
        <v>60</v>
      </c>
      <c r="B427" s="2">
        <v>27623</v>
      </c>
      <c r="C427" s="2">
        <v>3086</v>
      </c>
      <c r="D427" s="2">
        <v>283114</v>
      </c>
      <c r="E427" s="2">
        <v>90499</v>
      </c>
      <c r="F427" s="2">
        <v>756712</v>
      </c>
      <c r="G427" s="2">
        <v>264930</v>
      </c>
      <c r="H427" s="2">
        <v>1076280</v>
      </c>
      <c r="I427" s="2">
        <v>20936</v>
      </c>
      <c r="J427" s="2">
        <v>5042</v>
      </c>
      <c r="K427" s="2">
        <v>141409</v>
      </c>
      <c r="L427" s="2">
        <v>2666545</v>
      </c>
      <c r="M427" s="2">
        <v>59428</v>
      </c>
    </row>
    <row r="428" spans="1:13" ht="12.75" x14ac:dyDescent="0.2">
      <c r="A428" s="15" t="s">
        <v>78</v>
      </c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ht="12.75" x14ac:dyDescent="0.2">
      <c r="A429" s="16" t="s">
        <v>62</v>
      </c>
      <c r="B429" s="2">
        <v>33156</v>
      </c>
      <c r="C429" s="2">
        <v>2562</v>
      </c>
      <c r="D429" s="2">
        <v>269944</v>
      </c>
      <c r="E429" s="2">
        <v>88604</v>
      </c>
      <c r="F429" s="2">
        <v>775306</v>
      </c>
      <c r="G429" s="2">
        <v>269721</v>
      </c>
      <c r="H429" s="2">
        <v>1071455</v>
      </c>
      <c r="I429" s="2">
        <v>21153</v>
      </c>
      <c r="J429" s="2">
        <v>2973</v>
      </c>
      <c r="K429" s="2">
        <v>138714</v>
      </c>
      <c r="L429" s="2">
        <v>2671026</v>
      </c>
      <c r="M429" s="2">
        <v>57875</v>
      </c>
    </row>
    <row r="430" spans="1:13" ht="12.75" x14ac:dyDescent="0.2">
      <c r="A430" s="16" t="s">
        <v>63</v>
      </c>
      <c r="B430" s="2">
        <v>32345</v>
      </c>
      <c r="C430" s="2">
        <v>2102</v>
      </c>
      <c r="D430" s="2">
        <v>275265</v>
      </c>
      <c r="E430" s="2">
        <v>92849</v>
      </c>
      <c r="F430" s="2">
        <v>788591</v>
      </c>
      <c r="G430" s="2">
        <v>277134</v>
      </c>
      <c r="H430" s="2">
        <v>1072740</v>
      </c>
      <c r="I430" s="2">
        <v>22227</v>
      </c>
      <c r="J430" s="2">
        <v>2192</v>
      </c>
      <c r="K430" s="2">
        <v>137878</v>
      </c>
      <c r="L430" s="2">
        <v>2701221</v>
      </c>
      <c r="M430" s="2">
        <v>57405</v>
      </c>
    </row>
    <row r="431" spans="1:13" ht="12.75" x14ac:dyDescent="0.2">
      <c r="A431" s="16" t="s">
        <v>64</v>
      </c>
      <c r="B431" s="2">
        <v>34420</v>
      </c>
      <c r="C431" s="2">
        <v>3339</v>
      </c>
      <c r="D431" s="2">
        <v>271011</v>
      </c>
      <c r="E431" s="2">
        <v>95956</v>
      </c>
      <c r="F431" s="2">
        <v>788911</v>
      </c>
      <c r="G431" s="2">
        <v>283683</v>
      </c>
      <c r="H431" s="2">
        <v>1068191</v>
      </c>
      <c r="I431" s="2">
        <v>21076</v>
      </c>
      <c r="J431" s="2">
        <v>1667</v>
      </c>
      <c r="K431" s="2">
        <v>137023</v>
      </c>
      <c r="L431" s="2">
        <v>2701938</v>
      </c>
      <c r="M431" s="2">
        <v>55774</v>
      </c>
    </row>
    <row r="432" spans="1:13" ht="12.75" x14ac:dyDescent="0.2">
      <c r="A432" s="16" t="s">
        <v>65</v>
      </c>
      <c r="B432" s="2">
        <v>46278</v>
      </c>
      <c r="C432" s="2">
        <v>2648</v>
      </c>
      <c r="D432" s="2">
        <v>219400</v>
      </c>
      <c r="E432" s="2">
        <v>91975</v>
      </c>
      <c r="F432" s="2">
        <v>787743</v>
      </c>
      <c r="G432" s="2">
        <v>282792</v>
      </c>
      <c r="H432" s="2">
        <v>1074440</v>
      </c>
      <c r="I432" s="2">
        <v>20703</v>
      </c>
      <c r="J432" s="2">
        <v>1197</v>
      </c>
      <c r="K432" s="2">
        <v>136661</v>
      </c>
      <c r="L432" s="2">
        <v>2661189</v>
      </c>
      <c r="M432" s="2">
        <v>56667</v>
      </c>
    </row>
    <row r="433" spans="1:16" ht="12.75" x14ac:dyDescent="0.2">
      <c r="A433" s="16" t="s">
        <v>66</v>
      </c>
      <c r="B433" s="2">
        <v>39781</v>
      </c>
      <c r="C433" s="2">
        <v>2252</v>
      </c>
      <c r="D433" s="2">
        <v>228362</v>
      </c>
      <c r="E433" s="2">
        <v>91350</v>
      </c>
      <c r="F433" s="2">
        <v>797780</v>
      </c>
      <c r="G433" s="2">
        <v>247339</v>
      </c>
      <c r="H433" s="2">
        <v>1061707</v>
      </c>
      <c r="I433" s="2">
        <v>21017</v>
      </c>
      <c r="J433" s="2">
        <v>1116</v>
      </c>
      <c r="K433" s="2">
        <v>141690</v>
      </c>
      <c r="L433" s="2">
        <v>2630142</v>
      </c>
      <c r="M433" s="2">
        <v>56563</v>
      </c>
    </row>
    <row r="434" spans="1:16" ht="12.75" x14ac:dyDescent="0.2">
      <c r="A434" s="16" t="s">
        <v>67</v>
      </c>
      <c r="B434" s="2">
        <v>27789</v>
      </c>
      <c r="C434" s="2">
        <v>1937</v>
      </c>
      <c r="D434" s="2">
        <v>198243</v>
      </c>
      <c r="E434" s="2">
        <v>92326</v>
      </c>
      <c r="F434" s="2">
        <v>786350</v>
      </c>
      <c r="G434" s="2">
        <v>249159</v>
      </c>
      <c r="H434" s="2">
        <v>1071675</v>
      </c>
      <c r="I434" s="2">
        <v>21633</v>
      </c>
      <c r="J434" s="2">
        <v>1603</v>
      </c>
      <c r="K434" s="2">
        <v>143720</v>
      </c>
      <c r="L434" s="2">
        <v>2592498</v>
      </c>
      <c r="M434" s="2">
        <v>56111</v>
      </c>
    </row>
    <row r="435" spans="1:16" ht="12.75" x14ac:dyDescent="0.2">
      <c r="A435" s="16" t="s">
        <v>68</v>
      </c>
      <c r="B435" s="2">
        <v>20461</v>
      </c>
      <c r="C435" s="2">
        <v>2010</v>
      </c>
      <c r="D435" s="2">
        <v>178739</v>
      </c>
      <c r="E435" s="2">
        <v>93914</v>
      </c>
      <c r="F435" s="2">
        <v>812629</v>
      </c>
      <c r="G435" s="2">
        <v>249973</v>
      </c>
      <c r="H435" s="2">
        <v>1064433</v>
      </c>
      <c r="I435" s="2">
        <v>21797</v>
      </c>
      <c r="J435" s="2">
        <v>7856</v>
      </c>
      <c r="K435" s="2">
        <v>142496</v>
      </c>
      <c r="L435" s="2">
        <v>2592298</v>
      </c>
      <c r="M435" s="2">
        <v>55023</v>
      </c>
    </row>
    <row r="436" spans="1:16" ht="12.75" x14ac:dyDescent="0.2">
      <c r="A436" s="16" t="s">
        <v>69</v>
      </c>
      <c r="B436" s="2">
        <v>20737</v>
      </c>
      <c r="C436" s="2">
        <v>1713</v>
      </c>
      <c r="D436" s="2">
        <v>182094</v>
      </c>
      <c r="E436" s="2">
        <v>95495</v>
      </c>
      <c r="F436" s="2">
        <v>804889</v>
      </c>
      <c r="G436" s="2">
        <v>255001</v>
      </c>
      <c r="H436" s="2">
        <v>1060392</v>
      </c>
      <c r="I436" s="2">
        <v>20945</v>
      </c>
      <c r="J436" s="2">
        <v>5842</v>
      </c>
      <c r="K436" s="2">
        <v>146339</v>
      </c>
      <c r="L436" s="2">
        <v>2591734</v>
      </c>
      <c r="M436" s="2">
        <v>57112</v>
      </c>
      <c r="N436" s="28"/>
      <c r="O436" s="28"/>
      <c r="P436" s="28"/>
    </row>
    <row r="437" spans="1:16" ht="12.75" x14ac:dyDescent="0.2">
      <c r="A437" s="16" t="s">
        <v>72</v>
      </c>
      <c r="B437" s="2">
        <v>30270</v>
      </c>
      <c r="C437" s="2">
        <v>1997</v>
      </c>
      <c r="D437" s="2">
        <v>188242</v>
      </c>
      <c r="E437" s="2">
        <v>96859</v>
      </c>
      <c r="F437" s="2">
        <v>781296</v>
      </c>
      <c r="G437" s="2">
        <v>255262</v>
      </c>
      <c r="H437" s="2">
        <v>1064409</v>
      </c>
      <c r="I437" s="2">
        <v>22046</v>
      </c>
      <c r="J437" s="2">
        <v>4299</v>
      </c>
      <c r="K437" s="2">
        <v>145897</v>
      </c>
      <c r="L437" s="2">
        <v>2588580</v>
      </c>
      <c r="M437" s="2">
        <v>56949</v>
      </c>
      <c r="N437" s="28"/>
      <c r="O437" s="28"/>
      <c r="P437" s="28"/>
    </row>
    <row r="438" spans="1:16" ht="12.75" x14ac:dyDescent="0.2">
      <c r="A438" s="16" t="s">
        <v>58</v>
      </c>
      <c r="B438" s="2">
        <v>22527</v>
      </c>
      <c r="C438" s="2">
        <v>1839</v>
      </c>
      <c r="D438" s="2">
        <v>184817</v>
      </c>
      <c r="E438" s="2">
        <v>98391</v>
      </c>
      <c r="F438" s="2">
        <v>799159</v>
      </c>
      <c r="G438" s="2">
        <v>262118</v>
      </c>
      <c r="H438" s="2">
        <v>1057559</v>
      </c>
      <c r="I438" s="2">
        <v>22023</v>
      </c>
      <c r="J438" s="2">
        <v>4171</v>
      </c>
      <c r="K438" s="2">
        <v>141680</v>
      </c>
      <c r="L438" s="2">
        <v>2592445</v>
      </c>
      <c r="M438" s="2">
        <v>55329</v>
      </c>
      <c r="N438" s="28"/>
      <c r="O438" s="28"/>
      <c r="P438" s="28"/>
    </row>
    <row r="439" spans="1:16" ht="12.75" x14ac:dyDescent="0.2">
      <c r="A439" s="16" t="s">
        <v>59</v>
      </c>
      <c r="B439" s="2">
        <v>25273</v>
      </c>
      <c r="C439" s="2">
        <v>1925</v>
      </c>
      <c r="D439" s="2">
        <v>194996</v>
      </c>
      <c r="E439" s="2">
        <v>98957</v>
      </c>
      <c r="F439" s="2">
        <v>802315</v>
      </c>
      <c r="G439" s="2">
        <v>263004</v>
      </c>
      <c r="H439" s="2">
        <v>1065678</v>
      </c>
      <c r="I439" s="2">
        <v>22013</v>
      </c>
      <c r="J439" s="2">
        <v>3070</v>
      </c>
      <c r="K439" s="2">
        <v>142022</v>
      </c>
      <c r="L439" s="2">
        <v>2617328</v>
      </c>
      <c r="M439" s="2">
        <v>55890</v>
      </c>
      <c r="N439" s="28"/>
      <c r="O439" s="28"/>
      <c r="P439" s="28"/>
    </row>
    <row r="440" spans="1:16" ht="12.75" x14ac:dyDescent="0.2">
      <c r="A440" s="16" t="s">
        <v>60</v>
      </c>
      <c r="B440" s="2">
        <v>18690</v>
      </c>
      <c r="C440" s="2">
        <v>3000</v>
      </c>
      <c r="D440" s="2">
        <v>195067</v>
      </c>
      <c r="E440" s="2">
        <v>98749</v>
      </c>
      <c r="F440" s="2">
        <v>811617</v>
      </c>
      <c r="G440" s="2">
        <v>258785</v>
      </c>
      <c r="H440" s="2">
        <v>1081087</v>
      </c>
      <c r="I440" s="2">
        <v>21742</v>
      </c>
      <c r="J440" s="2">
        <v>1896</v>
      </c>
      <c r="K440" s="2">
        <v>144202</v>
      </c>
      <c r="L440" s="2">
        <v>2631835</v>
      </c>
      <c r="M440" s="2">
        <v>58234</v>
      </c>
      <c r="N440" s="28"/>
      <c r="O440" s="28"/>
      <c r="P440" s="28"/>
    </row>
    <row r="441" spans="1:16" ht="12.75" x14ac:dyDescent="0.2">
      <c r="A441" s="15" t="s">
        <v>79</v>
      </c>
      <c r="H441" s="2"/>
      <c r="K441" s="2"/>
      <c r="L441" s="2"/>
      <c r="N441" s="28"/>
      <c r="O441" s="28"/>
      <c r="P441" s="28"/>
    </row>
    <row r="442" spans="1:16" ht="12.75" x14ac:dyDescent="0.2">
      <c r="A442" s="16" t="s">
        <v>62</v>
      </c>
      <c r="B442" s="2">
        <v>20765</v>
      </c>
      <c r="C442" s="2">
        <v>1913</v>
      </c>
      <c r="D442" s="2">
        <v>187081</v>
      </c>
      <c r="E442" s="2">
        <v>97253</v>
      </c>
      <c r="F442" s="2">
        <v>844778</v>
      </c>
      <c r="G442" s="2">
        <v>265508</v>
      </c>
      <c r="H442" s="2">
        <v>1080336</v>
      </c>
      <c r="I442" s="2">
        <v>22068</v>
      </c>
      <c r="J442" s="2">
        <v>5376</v>
      </c>
      <c r="K442" s="2">
        <v>145261</v>
      </c>
      <c r="L442" s="2">
        <v>2668426</v>
      </c>
      <c r="M442" s="2">
        <v>58220</v>
      </c>
      <c r="N442" s="28"/>
      <c r="O442" s="28"/>
      <c r="P442" s="28"/>
    </row>
    <row r="443" spans="1:16" ht="12.75" x14ac:dyDescent="0.2">
      <c r="A443" s="16" t="s">
        <v>63</v>
      </c>
      <c r="B443" s="2">
        <v>21992</v>
      </c>
      <c r="C443" s="2">
        <v>3051</v>
      </c>
      <c r="D443" s="2">
        <v>182916</v>
      </c>
      <c r="E443" s="2">
        <v>94112</v>
      </c>
      <c r="F443" s="2">
        <v>847776</v>
      </c>
      <c r="G443" s="2">
        <v>274372</v>
      </c>
      <c r="H443" s="2">
        <v>1080244</v>
      </c>
      <c r="I443" s="2">
        <v>23217</v>
      </c>
      <c r="J443" s="2">
        <v>4691</v>
      </c>
      <c r="K443" s="2">
        <v>145128</v>
      </c>
      <c r="L443" s="2">
        <v>2674448</v>
      </c>
      <c r="M443" s="2">
        <v>59236</v>
      </c>
      <c r="N443" s="28"/>
      <c r="O443" s="28"/>
      <c r="P443" s="28"/>
    </row>
    <row r="444" spans="1:16" ht="12.75" x14ac:dyDescent="0.2">
      <c r="A444" s="16" t="s">
        <v>64</v>
      </c>
      <c r="B444" s="2">
        <v>18013</v>
      </c>
      <c r="C444" s="2">
        <v>3234</v>
      </c>
      <c r="D444" s="2">
        <v>190285</v>
      </c>
      <c r="E444" s="2">
        <v>92658</v>
      </c>
      <c r="F444" s="2">
        <v>852383</v>
      </c>
      <c r="G444" s="2">
        <v>283831</v>
      </c>
      <c r="H444" s="2">
        <v>1089915</v>
      </c>
      <c r="I444" s="2">
        <v>21877</v>
      </c>
      <c r="J444" s="2">
        <v>3238</v>
      </c>
      <c r="K444" s="2">
        <v>145182</v>
      </c>
      <c r="L444" s="2">
        <v>2697382</v>
      </c>
      <c r="M444" s="2">
        <v>58940</v>
      </c>
      <c r="N444" s="28"/>
      <c r="O444" s="28"/>
      <c r="P444" s="28"/>
    </row>
    <row r="445" spans="1:16" ht="12.75" x14ac:dyDescent="0.2">
      <c r="A445" s="16" t="s">
        <v>65</v>
      </c>
      <c r="B445" s="2">
        <v>26528</v>
      </c>
      <c r="C445" s="2">
        <v>2917</v>
      </c>
      <c r="D445" s="2">
        <v>188486</v>
      </c>
      <c r="E445" s="2">
        <v>82386</v>
      </c>
      <c r="F445" s="2">
        <v>853170</v>
      </c>
      <c r="G445" s="2">
        <v>290813</v>
      </c>
      <c r="H445" s="2">
        <v>1088774</v>
      </c>
      <c r="I445" s="2">
        <v>22346</v>
      </c>
      <c r="J445" s="2">
        <v>1844</v>
      </c>
      <c r="K445" s="2">
        <v>137638</v>
      </c>
      <c r="L445" s="2">
        <v>2691985</v>
      </c>
      <c r="M445" s="2">
        <v>57980</v>
      </c>
      <c r="N445" s="28"/>
      <c r="O445" s="28"/>
      <c r="P445" s="28"/>
    </row>
    <row r="446" spans="1:16" ht="13.5" customHeight="1" x14ac:dyDescent="0.2">
      <c r="A446" s="16" t="s">
        <v>66</v>
      </c>
      <c r="B446" s="2">
        <v>23504</v>
      </c>
      <c r="C446" s="2">
        <v>2351</v>
      </c>
      <c r="D446" s="2">
        <v>194867</v>
      </c>
      <c r="E446" s="2">
        <v>85137</v>
      </c>
      <c r="F446" s="2">
        <v>834637</v>
      </c>
      <c r="G446" s="2">
        <v>290471</v>
      </c>
      <c r="H446" s="2">
        <v>1085879</v>
      </c>
      <c r="I446" s="2">
        <v>23662</v>
      </c>
      <c r="J446" s="2">
        <v>1325</v>
      </c>
      <c r="K446" s="2">
        <v>139486</v>
      </c>
      <c r="L446" s="2">
        <v>2678968</v>
      </c>
      <c r="M446" s="2">
        <v>59397</v>
      </c>
      <c r="N446" s="28"/>
      <c r="O446" s="28"/>
      <c r="P446" s="28"/>
    </row>
    <row r="447" spans="1:16" ht="12.75" x14ac:dyDescent="0.2">
      <c r="A447" s="16" t="s">
        <v>67</v>
      </c>
      <c r="B447" s="2">
        <v>30618</v>
      </c>
      <c r="C447" s="2">
        <v>2688</v>
      </c>
      <c r="D447" s="2">
        <v>200781</v>
      </c>
      <c r="E447" s="2">
        <v>87993</v>
      </c>
      <c r="F447" s="2">
        <v>801607</v>
      </c>
      <c r="G447" s="2">
        <v>290541</v>
      </c>
      <c r="H447" s="2">
        <v>1096760</v>
      </c>
      <c r="I447" s="2">
        <v>24961</v>
      </c>
      <c r="J447" s="2">
        <v>2453</v>
      </c>
      <c r="K447" s="2">
        <v>138017</v>
      </c>
      <c r="L447" s="2">
        <v>2673731</v>
      </c>
      <c r="M447" s="2">
        <v>59818</v>
      </c>
      <c r="N447" s="28"/>
      <c r="O447" s="28"/>
      <c r="P447" s="28"/>
    </row>
    <row r="448" spans="1:16" ht="12.75" x14ac:dyDescent="0.2">
      <c r="A448" s="16" t="s">
        <v>68</v>
      </c>
      <c r="B448" s="2">
        <v>35153</v>
      </c>
      <c r="C448" s="2">
        <v>1435</v>
      </c>
      <c r="D448" s="2">
        <v>195854</v>
      </c>
      <c r="E448" s="2">
        <v>89693</v>
      </c>
      <c r="F448" s="2">
        <v>817249</v>
      </c>
      <c r="G448" s="2">
        <v>294177</v>
      </c>
      <c r="H448" s="2">
        <v>1091993</v>
      </c>
      <c r="I448" s="2">
        <v>23644</v>
      </c>
      <c r="J448" s="2">
        <v>5841</v>
      </c>
      <c r="K448" s="2">
        <v>126942</v>
      </c>
      <c r="L448" s="2">
        <v>2680546</v>
      </c>
      <c r="M448" s="2">
        <v>50048</v>
      </c>
      <c r="N448" s="28"/>
      <c r="O448" s="28"/>
      <c r="P448" s="28"/>
    </row>
    <row r="449" spans="1:16" ht="12.75" x14ac:dyDescent="0.2">
      <c r="A449" s="16" t="s">
        <v>69</v>
      </c>
      <c r="B449" s="2">
        <v>29416</v>
      </c>
      <c r="C449" s="2">
        <v>1413</v>
      </c>
      <c r="D449" s="2">
        <v>194394</v>
      </c>
      <c r="E449" s="2">
        <v>95271</v>
      </c>
      <c r="F449" s="2">
        <v>826493</v>
      </c>
      <c r="G449" s="2">
        <v>306434</v>
      </c>
      <c r="H449" s="2">
        <v>1092918</v>
      </c>
      <c r="I449" s="2">
        <v>23403</v>
      </c>
      <c r="J449" s="2">
        <v>4249</v>
      </c>
      <c r="K449" s="2">
        <v>126663</v>
      </c>
      <c r="L449" s="2">
        <v>2699241</v>
      </c>
      <c r="M449" s="2">
        <v>49008</v>
      </c>
      <c r="N449" s="28"/>
      <c r="O449" s="28"/>
      <c r="P449" s="28"/>
    </row>
    <row r="450" spans="1:16" ht="12.75" x14ac:dyDescent="0.2">
      <c r="A450" s="16" t="s">
        <v>72</v>
      </c>
      <c r="B450" s="2">
        <v>31031</v>
      </c>
      <c r="C450" s="2">
        <v>1270</v>
      </c>
      <c r="D450" s="2">
        <v>202877</v>
      </c>
      <c r="E450" s="2">
        <v>96044</v>
      </c>
      <c r="F450" s="2">
        <v>809515</v>
      </c>
      <c r="G450" s="2">
        <v>307800</v>
      </c>
      <c r="H450" s="2">
        <v>1099385</v>
      </c>
      <c r="I450" s="2">
        <v>24121</v>
      </c>
      <c r="J450" s="2">
        <v>3593</v>
      </c>
      <c r="K450" s="2">
        <v>133554</v>
      </c>
      <c r="L450" s="2">
        <v>2707920</v>
      </c>
      <c r="M450" s="2">
        <v>54587</v>
      </c>
      <c r="N450" s="28"/>
      <c r="O450" s="28"/>
      <c r="P450" s="28"/>
    </row>
    <row r="451" spans="1:16" ht="12.75" x14ac:dyDescent="0.2">
      <c r="A451" s="16" t="s">
        <v>58</v>
      </c>
      <c r="B451" s="2">
        <v>26674</v>
      </c>
      <c r="C451" s="2">
        <v>1546</v>
      </c>
      <c r="D451" s="2">
        <v>199436</v>
      </c>
      <c r="E451" s="2">
        <v>96288</v>
      </c>
      <c r="F451" s="2">
        <v>804818</v>
      </c>
      <c r="G451" s="2">
        <v>308216</v>
      </c>
      <c r="H451" s="2">
        <v>1101443</v>
      </c>
      <c r="I451" s="2">
        <v>23519</v>
      </c>
      <c r="J451" s="2">
        <v>6300</v>
      </c>
      <c r="K451" s="2">
        <v>133653</v>
      </c>
      <c r="L451" s="2">
        <v>2700347</v>
      </c>
      <c r="M451" s="2">
        <v>54912</v>
      </c>
      <c r="N451" s="28"/>
      <c r="O451" s="28"/>
      <c r="P451" s="28"/>
    </row>
    <row r="452" spans="1:16" ht="12.75" x14ac:dyDescent="0.2">
      <c r="A452" s="16" t="s">
        <v>59</v>
      </c>
      <c r="B452" s="2">
        <v>25979</v>
      </c>
      <c r="C452" s="2">
        <v>1547</v>
      </c>
      <c r="D452" s="2">
        <v>198574</v>
      </c>
      <c r="E452" s="2">
        <v>91361</v>
      </c>
      <c r="F452" s="2">
        <v>792026</v>
      </c>
      <c r="G452" s="2">
        <v>306786</v>
      </c>
      <c r="H452" s="2">
        <v>1113817</v>
      </c>
      <c r="I452" s="2">
        <v>23220</v>
      </c>
      <c r="J452" s="2">
        <v>7074</v>
      </c>
      <c r="K452" s="2">
        <v>130813</v>
      </c>
      <c r="L452" s="2">
        <v>2689650</v>
      </c>
      <c r="M452" s="2">
        <v>50904</v>
      </c>
      <c r="N452" s="28"/>
      <c r="O452" s="28"/>
      <c r="P452" s="28"/>
    </row>
    <row r="453" spans="1:16" ht="12.75" x14ac:dyDescent="0.2">
      <c r="A453" s="16" t="s">
        <v>60</v>
      </c>
      <c r="B453" s="2">
        <v>27005</v>
      </c>
      <c r="C453" s="2">
        <v>2348</v>
      </c>
      <c r="D453" s="2">
        <v>202253</v>
      </c>
      <c r="E453" s="2">
        <v>90691</v>
      </c>
      <c r="F453" s="2">
        <v>808276</v>
      </c>
      <c r="G453" s="2">
        <v>303763</v>
      </c>
      <c r="H453" s="2">
        <v>1120129</v>
      </c>
      <c r="I453" s="2">
        <v>21814</v>
      </c>
      <c r="J453" s="2">
        <v>7966</v>
      </c>
      <c r="K453" s="2">
        <v>126881</v>
      </c>
      <c r="L453" s="2">
        <v>2708778</v>
      </c>
      <c r="M453" s="2">
        <v>49876</v>
      </c>
      <c r="N453" s="28"/>
      <c r="O453" s="28"/>
      <c r="P453" s="28"/>
    </row>
    <row r="454" spans="1:16" ht="12.75" x14ac:dyDescent="0.2">
      <c r="A454" s="15" t="s">
        <v>80</v>
      </c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8"/>
      <c r="O454" s="28"/>
      <c r="P454" s="28"/>
    </row>
    <row r="455" spans="1:16" ht="12.75" x14ac:dyDescent="0.2">
      <c r="A455" s="16" t="s">
        <v>62</v>
      </c>
      <c r="B455" s="2">
        <v>33263</v>
      </c>
      <c r="C455" s="2">
        <v>2820</v>
      </c>
      <c r="D455" s="2">
        <v>201326</v>
      </c>
      <c r="E455" s="2">
        <v>91378</v>
      </c>
      <c r="F455" s="2">
        <v>822069</v>
      </c>
      <c r="G455" s="2">
        <v>312272</v>
      </c>
      <c r="H455" s="2">
        <v>1126921</v>
      </c>
      <c r="I455" s="2">
        <v>22550</v>
      </c>
      <c r="J455" s="2">
        <v>6877</v>
      </c>
      <c r="K455" s="2">
        <v>131825</v>
      </c>
      <c r="L455" s="2">
        <v>2748481</v>
      </c>
      <c r="M455" s="2">
        <v>50828</v>
      </c>
      <c r="N455" s="28"/>
      <c r="O455" s="28"/>
      <c r="P455" s="28"/>
    </row>
    <row r="456" spans="1:16" ht="12.75" customHeight="1" x14ac:dyDescent="0.2">
      <c r="A456" s="16" t="s">
        <v>63</v>
      </c>
      <c r="B456" s="2">
        <v>40717</v>
      </c>
      <c r="C456" s="2">
        <v>1817</v>
      </c>
      <c r="D456" s="2">
        <v>200664</v>
      </c>
      <c r="E456" s="2">
        <v>90254</v>
      </c>
      <c r="F456" s="2">
        <v>818639</v>
      </c>
      <c r="G456" s="2">
        <v>322075</v>
      </c>
      <c r="H456" s="2">
        <v>1129285</v>
      </c>
      <c r="I456" s="2">
        <v>22467</v>
      </c>
      <c r="J456" s="2">
        <v>11911</v>
      </c>
      <c r="K456" s="2">
        <v>132230</v>
      </c>
      <c r="L456" s="2">
        <v>2768242</v>
      </c>
      <c r="M456" s="2">
        <v>50581</v>
      </c>
      <c r="N456" s="28"/>
      <c r="O456" s="28"/>
      <c r="P456" s="28"/>
    </row>
    <row r="457" spans="1:16" ht="12.75" x14ac:dyDescent="0.2">
      <c r="A457" s="16" t="s">
        <v>64</v>
      </c>
      <c r="B457" s="2">
        <v>43542</v>
      </c>
      <c r="C457" s="2">
        <v>2484</v>
      </c>
      <c r="D457" s="2">
        <v>208354</v>
      </c>
      <c r="E457" s="2">
        <v>93024</v>
      </c>
      <c r="F457" s="2">
        <v>836376</v>
      </c>
      <c r="G457" s="2">
        <v>332414</v>
      </c>
      <c r="H457" s="2">
        <v>1136296</v>
      </c>
      <c r="I457" s="2">
        <v>22363</v>
      </c>
      <c r="J457" s="2">
        <v>7322</v>
      </c>
      <c r="K457" s="2">
        <v>133593</v>
      </c>
      <c r="L457" s="2">
        <v>2813284</v>
      </c>
      <c r="M457" s="2">
        <v>51204</v>
      </c>
      <c r="N457" s="28"/>
    </row>
    <row r="458" spans="1:16" ht="12.75" x14ac:dyDescent="0.2">
      <c r="A458" s="16" t="s">
        <v>65</v>
      </c>
      <c r="B458" s="2">
        <v>40702</v>
      </c>
      <c r="C458" s="2">
        <v>1853</v>
      </c>
      <c r="D458" s="2">
        <v>218110</v>
      </c>
      <c r="E458" s="2">
        <v>93118</v>
      </c>
      <c r="F458" s="2">
        <v>841303</v>
      </c>
      <c r="G458" s="2">
        <v>337126</v>
      </c>
      <c r="H458" s="2">
        <v>1142562</v>
      </c>
      <c r="I458" s="2">
        <v>21713</v>
      </c>
      <c r="J458" s="2">
        <v>9518</v>
      </c>
      <c r="K458" s="2">
        <v>136445</v>
      </c>
      <c r="L458" s="2">
        <v>2840597</v>
      </c>
      <c r="M458" s="2">
        <v>51509</v>
      </c>
      <c r="N458" s="28"/>
    </row>
    <row r="459" spans="1:16" ht="12.75" x14ac:dyDescent="0.2">
      <c r="A459" s="16" t="s">
        <v>66</v>
      </c>
      <c r="B459" s="2">
        <v>45788</v>
      </c>
      <c r="C459" s="2">
        <v>1646</v>
      </c>
      <c r="D459" s="2">
        <v>208001</v>
      </c>
      <c r="E459" s="2">
        <v>88914</v>
      </c>
      <c r="F459" s="2">
        <v>858303</v>
      </c>
      <c r="G459" s="2">
        <v>328965</v>
      </c>
      <c r="H459" s="2">
        <v>1138516</v>
      </c>
      <c r="I459" s="2">
        <v>21083</v>
      </c>
      <c r="J459" s="2">
        <v>8157</v>
      </c>
      <c r="K459" s="2">
        <v>137913</v>
      </c>
      <c r="L459" s="2">
        <v>2835640</v>
      </c>
      <c r="M459" s="2">
        <v>50637</v>
      </c>
    </row>
    <row r="460" spans="1:16" ht="12.75" x14ac:dyDescent="0.2">
      <c r="A460" s="16" t="s">
        <v>67</v>
      </c>
      <c r="B460" s="2">
        <v>43247</v>
      </c>
      <c r="C460" s="2">
        <v>2242</v>
      </c>
      <c r="D460" s="2">
        <v>218527</v>
      </c>
      <c r="E460" s="2">
        <v>89358</v>
      </c>
      <c r="F460" s="2">
        <v>839526</v>
      </c>
      <c r="G460" s="2">
        <v>329332</v>
      </c>
      <c r="H460" s="2">
        <v>1146304</v>
      </c>
      <c r="I460" s="2">
        <v>21156</v>
      </c>
      <c r="J460" s="2">
        <v>6913</v>
      </c>
      <c r="K460" s="2">
        <v>140037</v>
      </c>
      <c r="L460" s="2">
        <v>2834400</v>
      </c>
      <c r="M460" s="2">
        <v>50367</v>
      </c>
    </row>
    <row r="461" spans="1:16" ht="12.75" x14ac:dyDescent="0.2">
      <c r="A461" s="16" t="s">
        <v>68</v>
      </c>
      <c r="B461" s="2">
        <v>48585</v>
      </c>
      <c r="C461" s="2">
        <v>1628</v>
      </c>
      <c r="D461" s="2">
        <v>212068</v>
      </c>
      <c r="E461" s="2">
        <v>93995</v>
      </c>
      <c r="F461" s="2">
        <v>828540</v>
      </c>
      <c r="G461" s="2">
        <v>332550</v>
      </c>
      <c r="H461" s="2">
        <v>1139301</v>
      </c>
      <c r="I461" s="2">
        <v>20818</v>
      </c>
      <c r="J461" s="2">
        <v>6693</v>
      </c>
      <c r="K461" s="2">
        <v>140567</v>
      </c>
      <c r="L461" s="2">
        <v>2823117</v>
      </c>
      <c r="M461" s="2">
        <v>49955</v>
      </c>
    </row>
    <row r="462" spans="1:16" ht="12.75" x14ac:dyDescent="0.2">
      <c r="A462" s="16" t="s">
        <v>69</v>
      </c>
      <c r="B462" s="2">
        <v>49571</v>
      </c>
      <c r="C462" s="2">
        <v>1465</v>
      </c>
      <c r="D462" s="2">
        <v>213621</v>
      </c>
      <c r="E462" s="2">
        <v>96905</v>
      </c>
      <c r="F462" s="2">
        <v>820701</v>
      </c>
      <c r="G462" s="2">
        <v>328381</v>
      </c>
      <c r="H462" s="2">
        <v>1151084</v>
      </c>
      <c r="I462" s="2">
        <v>20468</v>
      </c>
      <c r="J462" s="2">
        <v>10444</v>
      </c>
      <c r="K462" s="2">
        <v>139983</v>
      </c>
      <c r="L462" s="2">
        <v>2831158</v>
      </c>
      <c r="M462" s="2">
        <v>48861</v>
      </c>
    </row>
    <row r="463" spans="1:16" ht="12.75" x14ac:dyDescent="0.2">
      <c r="A463" s="16" t="s">
        <v>72</v>
      </c>
      <c r="B463" s="2">
        <v>52918</v>
      </c>
      <c r="C463" s="2">
        <v>1609</v>
      </c>
      <c r="D463" s="2">
        <v>219596</v>
      </c>
      <c r="E463" s="2">
        <v>98871</v>
      </c>
      <c r="F463" s="2">
        <v>818061</v>
      </c>
      <c r="G463" s="2">
        <v>325744</v>
      </c>
      <c r="H463" s="2">
        <v>1151636</v>
      </c>
      <c r="I463" s="2">
        <v>20482</v>
      </c>
      <c r="J463" s="2">
        <v>6024</v>
      </c>
      <c r="K463" s="2">
        <v>140619</v>
      </c>
      <c r="L463" s="2">
        <v>2833951</v>
      </c>
      <c r="M463" s="2">
        <v>50118</v>
      </c>
    </row>
    <row r="464" spans="1:16" ht="12.75" x14ac:dyDescent="0.2">
      <c r="A464" s="16" t="s">
        <v>58</v>
      </c>
      <c r="B464" s="2">
        <v>52648</v>
      </c>
      <c r="C464" s="2">
        <v>1675</v>
      </c>
      <c r="D464" s="2">
        <v>219830</v>
      </c>
      <c r="E464" s="2">
        <v>97347</v>
      </c>
      <c r="F464" s="2">
        <v>828207</v>
      </c>
      <c r="G464" s="2">
        <v>323198</v>
      </c>
      <c r="H464" s="2">
        <v>1158330</v>
      </c>
      <c r="I464" s="2">
        <v>21473</v>
      </c>
      <c r="J464" s="2">
        <v>3982</v>
      </c>
      <c r="K464" s="2">
        <v>142888</v>
      </c>
      <c r="L464" s="2">
        <v>2847903</v>
      </c>
      <c r="M464" s="2">
        <v>51547</v>
      </c>
    </row>
    <row r="465" spans="1:13" ht="12.75" x14ac:dyDescent="0.2">
      <c r="A465" s="16" t="s">
        <v>59</v>
      </c>
      <c r="B465" s="2">
        <v>53424</v>
      </c>
      <c r="C465" s="2">
        <v>1590</v>
      </c>
      <c r="D465" s="2">
        <v>207912</v>
      </c>
      <c r="E465" s="2">
        <v>96940</v>
      </c>
      <c r="F465" s="2">
        <v>835459</v>
      </c>
      <c r="G465" s="2">
        <v>317408</v>
      </c>
      <c r="H465" s="2">
        <v>1174756</v>
      </c>
      <c r="I465" s="2">
        <v>21290</v>
      </c>
      <c r="J465" s="2">
        <v>2131</v>
      </c>
      <c r="K465" s="2">
        <v>141178</v>
      </c>
      <c r="L465" s="2">
        <v>2850498</v>
      </c>
      <c r="M465" s="2">
        <v>49787</v>
      </c>
    </row>
    <row r="466" spans="1:13" ht="12.75" x14ac:dyDescent="0.2">
      <c r="A466" s="16" t="s">
        <v>60</v>
      </c>
      <c r="B466" s="2">
        <v>50267</v>
      </c>
      <c r="C466" s="2">
        <v>1827</v>
      </c>
      <c r="D466" s="2">
        <v>207177</v>
      </c>
      <c r="E466" s="2">
        <v>96028</v>
      </c>
      <c r="F466" s="2">
        <v>867159</v>
      </c>
      <c r="G466" s="2">
        <v>307921</v>
      </c>
      <c r="H466" s="2">
        <v>1180310</v>
      </c>
      <c r="I466" s="2">
        <v>20740</v>
      </c>
      <c r="J466" s="2">
        <v>5708</v>
      </c>
      <c r="K466" s="2">
        <v>138780</v>
      </c>
      <c r="L466" s="2">
        <v>2874090</v>
      </c>
      <c r="M466" s="2">
        <v>48965</v>
      </c>
    </row>
    <row r="467" spans="1:13" ht="12.75" x14ac:dyDescent="0.2">
      <c r="A467" s="29" t="s">
        <v>81</v>
      </c>
    </row>
    <row r="468" spans="1:13" ht="12.75" x14ac:dyDescent="0.2">
      <c r="A468" s="16" t="s">
        <v>62</v>
      </c>
      <c r="B468" s="2">
        <v>53759</v>
      </c>
      <c r="C468" s="2">
        <v>1742</v>
      </c>
      <c r="D468" s="2">
        <v>206799</v>
      </c>
      <c r="E468" s="2">
        <v>88744</v>
      </c>
      <c r="F468" s="2">
        <v>878003</v>
      </c>
      <c r="G468" s="2">
        <v>314520</v>
      </c>
      <c r="H468" s="2">
        <v>1194105</v>
      </c>
      <c r="I468" s="2">
        <v>20873</v>
      </c>
      <c r="J468" s="2">
        <v>5006</v>
      </c>
      <c r="K468" s="2">
        <v>145365</v>
      </c>
      <c r="L468" s="2">
        <v>2907174</v>
      </c>
      <c r="M468" s="2">
        <v>49004</v>
      </c>
    </row>
    <row r="469" spans="1:13" ht="12.75" x14ac:dyDescent="0.2">
      <c r="A469" s="16" t="s">
        <v>63</v>
      </c>
      <c r="B469" s="2">
        <v>51708</v>
      </c>
      <c r="C469" s="2">
        <v>1892</v>
      </c>
      <c r="D469" s="2">
        <v>217898</v>
      </c>
      <c r="E469" s="2">
        <v>92829</v>
      </c>
      <c r="F469" s="2">
        <v>876542</v>
      </c>
      <c r="G469" s="2">
        <v>306168</v>
      </c>
      <c r="H469" s="2">
        <v>1221789</v>
      </c>
      <c r="I469" s="2">
        <v>20566</v>
      </c>
      <c r="J469" s="2">
        <v>5087</v>
      </c>
      <c r="K469" s="2">
        <v>145681</v>
      </c>
      <c r="L469" s="2">
        <v>2938268</v>
      </c>
      <c r="M469" s="2">
        <v>47935</v>
      </c>
    </row>
    <row r="470" spans="1:13" ht="12.75" x14ac:dyDescent="0.2">
      <c r="A470" s="16" t="s">
        <v>64</v>
      </c>
      <c r="B470" s="2">
        <v>56150</v>
      </c>
      <c r="C470" s="2">
        <v>2269</v>
      </c>
      <c r="D470" s="2">
        <v>224818</v>
      </c>
      <c r="E470" s="2">
        <v>93316</v>
      </c>
      <c r="F470" s="2">
        <v>876498</v>
      </c>
      <c r="G470" s="2">
        <v>310723</v>
      </c>
      <c r="H470" s="2">
        <v>1227510</v>
      </c>
      <c r="I470" s="2">
        <v>20545</v>
      </c>
      <c r="J470" s="2">
        <v>4409</v>
      </c>
      <c r="K470" s="2">
        <v>154836</v>
      </c>
      <c r="L470" s="2">
        <v>2968805</v>
      </c>
      <c r="M470" s="2">
        <v>49592</v>
      </c>
    </row>
    <row r="471" spans="1:13" ht="12.75" x14ac:dyDescent="0.2">
      <c r="A471" s="16" t="s">
        <v>65</v>
      </c>
      <c r="B471" s="2">
        <v>56695</v>
      </c>
      <c r="C471" s="2">
        <v>3200</v>
      </c>
      <c r="D471" s="2">
        <v>207132</v>
      </c>
      <c r="E471" s="2">
        <v>97468</v>
      </c>
      <c r="F471" s="2">
        <v>843915</v>
      </c>
      <c r="G471" s="2">
        <v>298880</v>
      </c>
      <c r="H471" s="2">
        <v>1239647</v>
      </c>
      <c r="I471" s="2">
        <v>21329</v>
      </c>
      <c r="J471" s="2">
        <v>5008</v>
      </c>
      <c r="K471" s="2">
        <v>157771</v>
      </c>
      <c r="L471" s="2">
        <v>2927845</v>
      </c>
      <c r="M471" s="2">
        <v>52595</v>
      </c>
    </row>
    <row r="472" spans="1:13" ht="12.75" x14ac:dyDescent="0.2">
      <c r="A472" s="16" t="s">
        <v>66</v>
      </c>
      <c r="B472" s="2">
        <v>58442</v>
      </c>
      <c r="C472" s="2">
        <v>2783</v>
      </c>
      <c r="D472" s="2">
        <v>218085</v>
      </c>
      <c r="E472" s="2">
        <v>94860</v>
      </c>
      <c r="F472" s="2">
        <v>844297</v>
      </c>
      <c r="G472" s="2">
        <v>295761</v>
      </c>
      <c r="H472" s="2">
        <v>1244157</v>
      </c>
      <c r="I472" s="2">
        <v>20395</v>
      </c>
      <c r="J472" s="2">
        <v>9247</v>
      </c>
      <c r="K472" s="2">
        <v>157848</v>
      </c>
      <c r="L472" s="2">
        <v>2943092</v>
      </c>
      <c r="M472" s="2">
        <v>54504</v>
      </c>
    </row>
    <row r="473" spans="1:13" ht="12.75" x14ac:dyDescent="0.2">
      <c r="A473" s="16" t="s">
        <v>67</v>
      </c>
      <c r="B473" s="2">
        <v>59147</v>
      </c>
      <c r="C473" s="2">
        <v>2197</v>
      </c>
      <c r="D473" s="2">
        <v>230748</v>
      </c>
      <c r="E473" s="2">
        <v>99429</v>
      </c>
      <c r="F473" s="2">
        <v>891065</v>
      </c>
      <c r="G473" s="2">
        <v>301614</v>
      </c>
      <c r="H473" s="2">
        <v>1192795</v>
      </c>
      <c r="I473" s="2">
        <v>20552</v>
      </c>
      <c r="J473" s="2">
        <v>8648</v>
      </c>
      <c r="K473" s="2">
        <v>156710</v>
      </c>
      <c r="L473" s="2">
        <v>2960708</v>
      </c>
      <c r="M473" s="2">
        <v>56872</v>
      </c>
    </row>
    <row r="474" spans="1:13" ht="12.75" x14ac:dyDescent="0.2">
      <c r="A474" s="16" t="s">
        <v>68</v>
      </c>
      <c r="B474" s="2">
        <v>60921</v>
      </c>
      <c r="C474" s="2">
        <v>2046</v>
      </c>
      <c r="D474" s="2">
        <v>253081</v>
      </c>
      <c r="E474" s="2">
        <v>102396</v>
      </c>
      <c r="F474" s="2">
        <v>926908</v>
      </c>
      <c r="G474" s="2">
        <v>297923</v>
      </c>
      <c r="H474" s="2">
        <v>1180853</v>
      </c>
      <c r="I474" s="2">
        <v>20598</v>
      </c>
      <c r="J474" s="2">
        <v>11685</v>
      </c>
      <c r="K474" s="2">
        <v>161679</v>
      </c>
      <c r="L474" s="2">
        <v>3016044</v>
      </c>
      <c r="M474" s="2">
        <v>57041</v>
      </c>
    </row>
    <row r="475" spans="1:13" ht="12.75" x14ac:dyDescent="0.2">
      <c r="A475" s="16" t="s">
        <v>69</v>
      </c>
      <c r="B475" s="2">
        <v>64469</v>
      </c>
      <c r="C475" s="2">
        <v>1908</v>
      </c>
      <c r="D475" s="2">
        <v>256929</v>
      </c>
      <c r="E475" s="2">
        <v>114060</v>
      </c>
      <c r="F475" s="2">
        <v>917078</v>
      </c>
      <c r="G475" s="2">
        <v>304458</v>
      </c>
      <c r="H475" s="2">
        <v>1171972</v>
      </c>
      <c r="I475" s="2">
        <v>20959</v>
      </c>
      <c r="J475" s="2">
        <v>10693</v>
      </c>
      <c r="K475" s="2">
        <v>158356</v>
      </c>
      <c r="L475" s="2">
        <v>3018974</v>
      </c>
      <c r="M475" s="2">
        <v>57429</v>
      </c>
    </row>
    <row r="476" spans="1:13" ht="12.75" x14ac:dyDescent="0.2">
      <c r="A476" s="16" t="s">
        <v>72</v>
      </c>
      <c r="B476" s="2">
        <v>64761</v>
      </c>
      <c r="C476" s="2">
        <v>2143</v>
      </c>
      <c r="D476" s="2">
        <v>264921</v>
      </c>
      <c r="E476" s="2">
        <v>115660</v>
      </c>
      <c r="F476" s="2">
        <v>948096</v>
      </c>
      <c r="G476" s="2">
        <v>317661</v>
      </c>
      <c r="H476" s="2">
        <v>1179608</v>
      </c>
      <c r="I476" s="2">
        <v>19610</v>
      </c>
      <c r="J476" s="2">
        <v>9252</v>
      </c>
      <c r="K476" s="2">
        <v>162421</v>
      </c>
      <c r="L476" s="2">
        <v>3081990</v>
      </c>
      <c r="M476" s="2">
        <v>59167</v>
      </c>
    </row>
    <row r="477" spans="1:13" ht="12.75" x14ac:dyDescent="0.2">
      <c r="A477" s="16" t="s">
        <v>58</v>
      </c>
      <c r="B477" s="2">
        <v>49908</v>
      </c>
      <c r="C477" s="2">
        <v>1735</v>
      </c>
      <c r="D477" s="2">
        <v>271374</v>
      </c>
      <c r="E477" s="2">
        <v>110252</v>
      </c>
      <c r="F477" s="2">
        <v>936778</v>
      </c>
      <c r="G477" s="2">
        <v>319843</v>
      </c>
      <c r="H477" s="2">
        <v>1198868</v>
      </c>
      <c r="I477" s="2">
        <v>19042</v>
      </c>
      <c r="J477" s="2">
        <v>8313</v>
      </c>
      <c r="K477" s="2">
        <v>161610</v>
      </c>
      <c r="L477" s="2">
        <v>3075988</v>
      </c>
      <c r="M477" s="2">
        <v>59410</v>
      </c>
    </row>
    <row r="478" spans="1:13" ht="12.75" x14ac:dyDescent="0.2">
      <c r="A478" s="16" t="s">
        <v>59</v>
      </c>
      <c r="B478" s="2">
        <v>46431</v>
      </c>
      <c r="C478" s="2">
        <v>1749</v>
      </c>
      <c r="D478" s="2">
        <v>325664</v>
      </c>
      <c r="E478" s="2">
        <v>113515</v>
      </c>
      <c r="F478" s="2">
        <v>930933</v>
      </c>
      <c r="G478" s="2">
        <v>325731</v>
      </c>
      <c r="H478" s="2">
        <v>1178730</v>
      </c>
      <c r="I478" s="2">
        <v>18790</v>
      </c>
      <c r="J478" s="2">
        <v>5703</v>
      </c>
      <c r="K478" s="2">
        <v>158878</v>
      </c>
      <c r="L478" s="2">
        <v>3104375</v>
      </c>
      <c r="M478" s="2">
        <v>56735</v>
      </c>
    </row>
    <row r="479" spans="1:13" ht="12.75" x14ac:dyDescent="0.2">
      <c r="A479" s="16" t="s">
        <v>60</v>
      </c>
      <c r="B479" s="2">
        <v>45887</v>
      </c>
      <c r="C479" s="2">
        <v>2880</v>
      </c>
      <c r="D479" s="2">
        <v>315859</v>
      </c>
      <c r="E479" s="2">
        <v>108973</v>
      </c>
      <c r="F479" s="2">
        <v>962761</v>
      </c>
      <c r="G479" s="2">
        <v>328428</v>
      </c>
      <c r="H479" s="2">
        <v>1190091</v>
      </c>
      <c r="I479" s="2">
        <v>19119</v>
      </c>
      <c r="J479" s="2">
        <v>16082</v>
      </c>
      <c r="K479" s="2">
        <v>159619</v>
      </c>
      <c r="L479" s="2">
        <v>3146819</v>
      </c>
      <c r="M479" s="2">
        <v>56763</v>
      </c>
    </row>
    <row r="480" spans="1:13" ht="12.75" x14ac:dyDescent="0.2">
      <c r="A480" s="29" t="s">
        <v>82</v>
      </c>
    </row>
    <row r="481" spans="1:14" ht="12.75" x14ac:dyDescent="0.2">
      <c r="A481" s="16" t="s">
        <v>62</v>
      </c>
      <c r="B481" s="2">
        <v>51807</v>
      </c>
      <c r="C481" s="2">
        <v>3163</v>
      </c>
      <c r="D481" s="2">
        <v>319873</v>
      </c>
      <c r="E481" s="2">
        <v>116985</v>
      </c>
      <c r="F481" s="2">
        <v>961875</v>
      </c>
      <c r="G481" s="2">
        <v>340131</v>
      </c>
      <c r="H481" s="2">
        <v>1196168</v>
      </c>
      <c r="I481" s="2">
        <v>19147</v>
      </c>
      <c r="J481" s="2">
        <v>20149</v>
      </c>
      <c r="K481" s="2">
        <v>159013</v>
      </c>
      <c r="L481" s="2">
        <v>3185148</v>
      </c>
      <c r="M481" s="2">
        <v>54142</v>
      </c>
    </row>
    <row r="482" spans="1:14" ht="12.75" x14ac:dyDescent="0.2">
      <c r="A482" s="16" t="s">
        <v>63</v>
      </c>
      <c r="B482" s="2">
        <v>52607</v>
      </c>
      <c r="C482" s="2">
        <v>3668</v>
      </c>
      <c r="D482" s="2">
        <v>338406</v>
      </c>
      <c r="E482" s="2">
        <v>120154</v>
      </c>
      <c r="F482" s="2">
        <v>981552</v>
      </c>
      <c r="G482" s="2">
        <v>348002</v>
      </c>
      <c r="H482" s="2">
        <v>1181453</v>
      </c>
      <c r="I482" s="2">
        <v>19027</v>
      </c>
      <c r="J482" s="2">
        <v>14439</v>
      </c>
      <c r="K482" s="2">
        <v>157400</v>
      </c>
      <c r="L482" s="2">
        <v>3213040</v>
      </c>
      <c r="M482" s="2">
        <v>53325</v>
      </c>
    </row>
    <row r="483" spans="1:14" ht="12.75" x14ac:dyDescent="0.2">
      <c r="A483" s="16" t="s">
        <v>64</v>
      </c>
      <c r="B483" s="2">
        <v>55044</v>
      </c>
      <c r="C483" s="2">
        <v>2973</v>
      </c>
      <c r="D483" s="2">
        <v>336975</v>
      </c>
      <c r="E483" s="2">
        <v>132075</v>
      </c>
      <c r="F483" s="2">
        <v>995836</v>
      </c>
      <c r="G483" s="2">
        <v>355964</v>
      </c>
      <c r="H483" s="2">
        <v>1193048</v>
      </c>
      <c r="I483" s="2">
        <v>20025</v>
      </c>
      <c r="J483" s="2">
        <v>14947</v>
      </c>
      <c r="K483" s="2">
        <v>160423</v>
      </c>
      <c r="L483" s="2">
        <v>3264337</v>
      </c>
      <c r="M483" s="2">
        <v>55833</v>
      </c>
    </row>
    <row r="484" spans="1:14" ht="12.75" x14ac:dyDescent="0.2">
      <c r="A484" s="16" t="s">
        <v>65</v>
      </c>
      <c r="B484" s="2">
        <v>57997</v>
      </c>
      <c r="C484" s="2">
        <v>5698</v>
      </c>
      <c r="D484" s="2">
        <v>348196</v>
      </c>
      <c r="E484" s="2">
        <v>143572</v>
      </c>
      <c r="F484" s="2">
        <v>1112624</v>
      </c>
      <c r="G484" s="2">
        <v>366176</v>
      </c>
      <c r="H484" s="2">
        <v>1136727</v>
      </c>
      <c r="I484" s="2">
        <v>20506</v>
      </c>
      <c r="J484" s="2">
        <v>13817</v>
      </c>
      <c r="K484" s="2">
        <v>219458</v>
      </c>
      <c r="L484" s="2">
        <v>3419073</v>
      </c>
      <c r="M484" s="2">
        <v>55459</v>
      </c>
    </row>
    <row r="485" spans="1:14" ht="12.75" x14ac:dyDescent="0.2">
      <c r="A485" s="16" t="s">
        <v>66</v>
      </c>
      <c r="B485" s="2">
        <v>59335</v>
      </c>
      <c r="C485" s="2">
        <v>5463</v>
      </c>
      <c r="D485" s="2">
        <v>340218</v>
      </c>
      <c r="E485" s="2">
        <v>137313</v>
      </c>
      <c r="F485" s="2">
        <v>1137814</v>
      </c>
      <c r="G485" s="2">
        <v>363528</v>
      </c>
      <c r="H485" s="2">
        <v>1139185</v>
      </c>
      <c r="I485" s="2">
        <v>20206</v>
      </c>
      <c r="J485" s="2">
        <v>18443</v>
      </c>
      <c r="K485" s="2">
        <v>228558</v>
      </c>
      <c r="L485" s="2">
        <v>3444600</v>
      </c>
      <c r="M485" s="2">
        <v>64842</v>
      </c>
    </row>
    <row r="486" spans="1:14" ht="12.75" x14ac:dyDescent="0.2">
      <c r="A486" s="16" t="s">
        <v>67</v>
      </c>
      <c r="B486" s="2">
        <v>64358</v>
      </c>
      <c r="C486" s="2">
        <v>6066</v>
      </c>
      <c r="D486" s="2">
        <v>333036</v>
      </c>
      <c r="E486" s="2">
        <v>139651</v>
      </c>
      <c r="F486" s="2">
        <v>1130160</v>
      </c>
      <c r="G486" s="2">
        <v>372655</v>
      </c>
      <c r="H486" s="2">
        <v>1147022</v>
      </c>
      <c r="I486" s="2">
        <v>21113</v>
      </c>
      <c r="J486" s="2">
        <v>25365</v>
      </c>
      <c r="K486" s="2">
        <v>235316</v>
      </c>
      <c r="L486" s="2">
        <v>3468676</v>
      </c>
      <c r="M486" s="2">
        <v>66808</v>
      </c>
    </row>
    <row r="487" spans="1:14" ht="12.75" x14ac:dyDescent="0.2">
      <c r="A487" s="16" t="s">
        <v>68</v>
      </c>
      <c r="B487" s="2">
        <v>62777</v>
      </c>
      <c r="C487" s="2">
        <v>5877</v>
      </c>
      <c r="D487" s="2">
        <v>337720</v>
      </c>
      <c r="E487" s="2">
        <v>141567</v>
      </c>
      <c r="F487" s="2">
        <v>1136134</v>
      </c>
      <c r="G487" s="2">
        <v>372320</v>
      </c>
      <c r="H487" s="2">
        <v>1164869</v>
      </c>
      <c r="I487" s="2">
        <v>23396</v>
      </c>
      <c r="J487" s="2">
        <v>17698</v>
      </c>
      <c r="K487" s="2">
        <v>229290</v>
      </c>
      <c r="L487" s="2">
        <v>3485771</v>
      </c>
      <c r="M487" s="2">
        <v>65908</v>
      </c>
    </row>
    <row r="488" spans="1:14" ht="12.75" x14ac:dyDescent="0.2">
      <c r="A488" s="16" t="s">
        <v>69</v>
      </c>
      <c r="B488" s="2">
        <v>64070</v>
      </c>
      <c r="C488" s="2">
        <v>5642</v>
      </c>
      <c r="D488" s="2">
        <v>337742</v>
      </c>
      <c r="E488" s="2">
        <v>148652</v>
      </c>
      <c r="F488" s="2">
        <v>1139313</v>
      </c>
      <c r="G488" s="2">
        <v>376211</v>
      </c>
      <c r="H488" s="2">
        <v>1166628</v>
      </c>
      <c r="I488" s="2">
        <v>23204</v>
      </c>
      <c r="J488" s="2">
        <v>13733</v>
      </c>
      <c r="K488" s="2">
        <v>224882</v>
      </c>
      <c r="L488" s="2">
        <v>3494435</v>
      </c>
      <c r="M488" s="2">
        <v>63980</v>
      </c>
    </row>
    <row r="489" spans="1:14" ht="12.75" x14ac:dyDescent="0.2">
      <c r="A489" s="16" t="s">
        <v>72</v>
      </c>
      <c r="B489" s="2">
        <v>66638</v>
      </c>
      <c r="C489" s="2">
        <v>5622</v>
      </c>
      <c r="D489" s="2">
        <v>342152</v>
      </c>
      <c r="E489" s="2">
        <v>153357</v>
      </c>
      <c r="F489" s="2">
        <v>1127351</v>
      </c>
      <c r="G489" s="2">
        <v>374003</v>
      </c>
      <c r="H489" s="2">
        <v>1172773</v>
      </c>
      <c r="I489" s="2">
        <v>21706</v>
      </c>
      <c r="J489" s="2">
        <v>14494</v>
      </c>
      <c r="K489" s="2">
        <v>221374</v>
      </c>
      <c r="L489" s="2">
        <v>3493848</v>
      </c>
      <c r="M489" s="2">
        <v>65612</v>
      </c>
    </row>
    <row r="490" spans="1:14" ht="12.75" x14ac:dyDescent="0.2">
      <c r="A490" s="16" t="s">
        <v>58</v>
      </c>
      <c r="B490" s="2">
        <v>66969</v>
      </c>
      <c r="C490" s="2">
        <v>5485</v>
      </c>
      <c r="D490" s="2">
        <v>325189</v>
      </c>
      <c r="E490" s="2">
        <v>153898</v>
      </c>
      <c r="F490" s="2">
        <v>1135413</v>
      </c>
      <c r="G490" s="2">
        <v>382335</v>
      </c>
      <c r="H490" s="2">
        <v>1193276</v>
      </c>
      <c r="I490" s="2">
        <v>21427</v>
      </c>
      <c r="J490" s="2">
        <v>18708</v>
      </c>
      <c r="K490" s="2">
        <v>221899</v>
      </c>
      <c r="L490" s="2">
        <v>3519114</v>
      </c>
      <c r="M490" s="2">
        <v>66057</v>
      </c>
    </row>
    <row r="491" spans="1:14" ht="12.75" x14ac:dyDescent="0.2">
      <c r="A491" s="16" t="s">
        <v>59</v>
      </c>
      <c r="B491" s="2">
        <v>68873</v>
      </c>
      <c r="C491" s="2">
        <v>5464</v>
      </c>
      <c r="D491" s="2">
        <v>330413</v>
      </c>
      <c r="E491" s="2">
        <v>155333</v>
      </c>
      <c r="F491" s="2">
        <v>1158304</v>
      </c>
      <c r="G491" s="2">
        <v>373556</v>
      </c>
      <c r="H491" s="2">
        <v>1196214</v>
      </c>
      <c r="I491" s="2">
        <v>21658</v>
      </c>
      <c r="J491" s="2">
        <v>18440</v>
      </c>
      <c r="K491" s="2">
        <v>236353</v>
      </c>
      <c r="L491" s="2">
        <v>3559144</v>
      </c>
      <c r="M491" s="2">
        <v>66085</v>
      </c>
    </row>
    <row r="492" spans="1:14" ht="12.75" x14ac:dyDescent="0.2">
      <c r="A492" s="16" t="s">
        <v>60</v>
      </c>
      <c r="B492" s="2">
        <v>76860</v>
      </c>
      <c r="C492" s="2">
        <v>7943</v>
      </c>
      <c r="D492" s="2">
        <v>306587</v>
      </c>
      <c r="E492" s="2">
        <v>157876</v>
      </c>
      <c r="F492" s="2">
        <v>1195128</v>
      </c>
      <c r="G492" s="2">
        <v>354703</v>
      </c>
      <c r="H492" s="2">
        <v>1228879</v>
      </c>
      <c r="I492" s="2">
        <v>21439</v>
      </c>
      <c r="J492" s="2">
        <v>17129</v>
      </c>
      <c r="K492" s="2">
        <v>229163</v>
      </c>
      <c r="L492" s="2">
        <v>3587764</v>
      </c>
      <c r="M492" s="2">
        <v>62263</v>
      </c>
    </row>
    <row r="493" spans="1:14" ht="12.75" x14ac:dyDescent="0.2">
      <c r="A493" s="30">
        <v>2022</v>
      </c>
    </row>
    <row r="494" spans="1:14" ht="12.75" x14ac:dyDescent="0.2">
      <c r="A494" s="16" t="s">
        <v>62</v>
      </c>
      <c r="B494" s="2">
        <v>77161</v>
      </c>
      <c r="C494" s="2">
        <v>9678</v>
      </c>
      <c r="D494" s="2">
        <v>315380</v>
      </c>
      <c r="E494" s="2">
        <v>153707</v>
      </c>
      <c r="F494" s="2">
        <v>1183931</v>
      </c>
      <c r="G494" s="2">
        <v>361204</v>
      </c>
      <c r="H494" s="2">
        <v>1225090</v>
      </c>
      <c r="I494" s="2">
        <v>22172</v>
      </c>
      <c r="J494" s="2">
        <v>14882</v>
      </c>
      <c r="K494" s="2">
        <v>228159</v>
      </c>
      <c r="L494" s="2">
        <v>3581686</v>
      </c>
      <c r="M494" s="2">
        <v>62916</v>
      </c>
    </row>
    <row r="495" spans="1:14" ht="12.75" x14ac:dyDescent="0.2">
      <c r="A495" s="16" t="s">
        <v>63</v>
      </c>
      <c r="B495" s="2">
        <v>81665</v>
      </c>
      <c r="C495" s="2">
        <v>9229</v>
      </c>
      <c r="D495" s="2">
        <v>319150</v>
      </c>
      <c r="E495" s="2">
        <v>155021</v>
      </c>
      <c r="F495" s="2">
        <v>1180011</v>
      </c>
      <c r="G495" s="2">
        <v>377630</v>
      </c>
      <c r="H495" s="2">
        <v>1242330</v>
      </c>
      <c r="I495" s="2">
        <v>23239</v>
      </c>
      <c r="J495" s="2">
        <v>10749</v>
      </c>
      <c r="K495" s="2">
        <v>229160</v>
      </c>
      <c r="L495" s="2">
        <v>3618955</v>
      </c>
      <c r="M495" s="2">
        <v>64745</v>
      </c>
    </row>
    <row r="496" spans="1:14" ht="12.75" x14ac:dyDescent="0.2">
      <c r="A496" s="16" t="s">
        <v>64</v>
      </c>
      <c r="B496" s="2">
        <v>82963</v>
      </c>
      <c r="C496" s="2">
        <v>9115</v>
      </c>
      <c r="D496" s="2">
        <v>369548</v>
      </c>
      <c r="E496" s="2">
        <v>179072</v>
      </c>
      <c r="F496" s="2">
        <v>1243336</v>
      </c>
      <c r="G496" s="2">
        <v>352063</v>
      </c>
      <c r="H496" s="2">
        <v>1258505</v>
      </c>
      <c r="I496" s="2">
        <v>23457</v>
      </c>
      <c r="J496" s="2">
        <v>10655</v>
      </c>
      <c r="K496" s="2">
        <v>187710</v>
      </c>
      <c r="L496" s="2">
        <v>3707309</v>
      </c>
      <c r="M496" s="2">
        <v>33770</v>
      </c>
      <c r="N496" s="2"/>
    </row>
    <row r="497" spans="1:27" ht="12.75" x14ac:dyDescent="0.2">
      <c r="A497" s="16" t="s">
        <v>65</v>
      </c>
      <c r="B497" s="2">
        <v>88219</v>
      </c>
      <c r="C497" s="2">
        <v>8865</v>
      </c>
      <c r="D497" s="2">
        <v>369680</v>
      </c>
      <c r="E497" s="2">
        <v>181415</v>
      </c>
      <c r="F497" s="2">
        <v>1249131</v>
      </c>
      <c r="G497" s="2">
        <v>348987</v>
      </c>
      <c r="H497" s="2">
        <v>1274982</v>
      </c>
      <c r="I497" s="2">
        <v>22841</v>
      </c>
      <c r="J497" s="2">
        <v>10729</v>
      </c>
      <c r="K497" s="2">
        <v>172798</v>
      </c>
      <c r="L497" s="2">
        <v>3718782</v>
      </c>
      <c r="M497" s="2">
        <v>32514</v>
      </c>
      <c r="N497" s="2"/>
    </row>
    <row r="498" spans="1:27" ht="12.75" x14ac:dyDescent="0.2">
      <c r="A498" s="16" t="s">
        <v>66</v>
      </c>
      <c r="B498" s="2">
        <v>88031</v>
      </c>
      <c r="C498" s="2">
        <v>8654</v>
      </c>
      <c r="D498" s="2">
        <v>355915</v>
      </c>
      <c r="E498" s="2">
        <v>178302</v>
      </c>
      <c r="F498" s="2">
        <v>1252719</v>
      </c>
      <c r="G498" s="2">
        <v>356382</v>
      </c>
      <c r="H498" s="2">
        <v>1266855</v>
      </c>
      <c r="I498" s="2">
        <v>23567</v>
      </c>
      <c r="J498" s="2">
        <v>15119</v>
      </c>
      <c r="K498" s="2">
        <v>186248</v>
      </c>
      <c r="L498" s="2">
        <v>3723138</v>
      </c>
      <c r="M498" s="2">
        <v>33998</v>
      </c>
    </row>
    <row r="499" spans="1:27" ht="12.75" x14ac:dyDescent="0.2">
      <c r="A499" s="16" t="s">
        <v>67</v>
      </c>
      <c r="B499" s="2">
        <v>95400</v>
      </c>
      <c r="C499" s="2">
        <v>7639</v>
      </c>
      <c r="D499" s="2">
        <v>341367</v>
      </c>
      <c r="E499" s="2">
        <v>173861</v>
      </c>
      <c r="F499" s="2">
        <v>1235508</v>
      </c>
      <c r="G499" s="2">
        <v>363260</v>
      </c>
      <c r="H499" s="2">
        <v>1276503</v>
      </c>
      <c r="I499" s="2">
        <v>23922</v>
      </c>
      <c r="J499" s="2">
        <v>14971</v>
      </c>
      <c r="K499" s="2">
        <v>183601</v>
      </c>
      <c r="L499" s="2">
        <v>3708393</v>
      </c>
      <c r="M499" s="2">
        <v>33423</v>
      </c>
      <c r="N499" s="2"/>
      <c r="AA499" s="2"/>
    </row>
    <row r="500" spans="1:27" ht="12.75" x14ac:dyDescent="0.2">
      <c r="A500" s="16" t="s">
        <v>68</v>
      </c>
      <c r="B500" s="2">
        <v>96859</v>
      </c>
      <c r="C500" s="2">
        <v>7681</v>
      </c>
      <c r="D500" s="2">
        <v>342532</v>
      </c>
      <c r="E500" s="2">
        <v>168631</v>
      </c>
      <c r="F500" s="2">
        <v>1196734</v>
      </c>
      <c r="G500" s="2">
        <v>360766</v>
      </c>
      <c r="H500" s="2">
        <v>1288053</v>
      </c>
      <c r="I500" s="2">
        <v>23692</v>
      </c>
      <c r="J500" s="2">
        <v>20300</v>
      </c>
      <c r="K500" s="2">
        <v>178696</v>
      </c>
      <c r="L500" s="2">
        <v>3676263</v>
      </c>
      <c r="M500" s="2">
        <v>33003</v>
      </c>
      <c r="N500" s="2"/>
    </row>
    <row r="501" spans="1:27" ht="12.75" x14ac:dyDescent="0.2">
      <c r="A501" s="16" t="s">
        <v>69</v>
      </c>
      <c r="B501" s="2">
        <v>96978</v>
      </c>
      <c r="C501" s="2">
        <v>6709</v>
      </c>
      <c r="D501" s="2">
        <v>330927</v>
      </c>
      <c r="E501" s="2">
        <v>167171</v>
      </c>
      <c r="F501" s="2">
        <v>1135302</v>
      </c>
      <c r="G501" s="2">
        <v>362942</v>
      </c>
      <c r="H501" s="2">
        <v>1286507</v>
      </c>
      <c r="I501" s="2">
        <v>24799</v>
      </c>
      <c r="J501" s="2">
        <v>19181</v>
      </c>
      <c r="K501" s="2">
        <v>221946</v>
      </c>
      <c r="L501" s="2">
        <v>3645753</v>
      </c>
      <c r="M501" s="2">
        <v>32187</v>
      </c>
    </row>
    <row r="502" spans="1:27" ht="12.75" x14ac:dyDescent="0.2">
      <c r="A502" s="16" t="s">
        <v>72</v>
      </c>
      <c r="B502" s="2">
        <v>47617</v>
      </c>
      <c r="C502" s="2">
        <v>6341</v>
      </c>
      <c r="D502" s="2">
        <v>337747</v>
      </c>
      <c r="E502" s="2">
        <v>237973</v>
      </c>
      <c r="F502" s="2">
        <v>1154218</v>
      </c>
      <c r="G502" s="2">
        <v>363903</v>
      </c>
      <c r="H502" s="2">
        <v>1295561</v>
      </c>
      <c r="I502" s="2">
        <v>24224</v>
      </c>
      <c r="J502" s="2">
        <v>16074</v>
      </c>
      <c r="K502" s="2">
        <v>150411</v>
      </c>
      <c r="L502" s="2">
        <v>3627728</v>
      </c>
      <c r="M502" s="2">
        <v>33768</v>
      </c>
    </row>
    <row r="503" spans="1:27" ht="12" customHeight="1" x14ac:dyDescent="0.2">
      <c r="A503" s="16" t="s">
        <v>58</v>
      </c>
      <c r="B503" s="2">
        <v>45690</v>
      </c>
      <c r="C503" s="2">
        <v>11133</v>
      </c>
      <c r="D503" s="2">
        <v>339676</v>
      </c>
      <c r="E503" s="2">
        <v>238255</v>
      </c>
      <c r="F503" s="2">
        <v>1139271</v>
      </c>
      <c r="G503" s="2">
        <v>368805</v>
      </c>
      <c r="H503" s="2">
        <v>1290826</v>
      </c>
      <c r="I503" s="2">
        <v>23895</v>
      </c>
      <c r="J503" s="2">
        <v>23269</v>
      </c>
      <c r="K503" s="2">
        <v>152489</v>
      </c>
      <c r="L503" s="2">
        <v>3622176</v>
      </c>
      <c r="M503" s="2">
        <v>32441</v>
      </c>
    </row>
    <row r="504" spans="1:27" ht="12" customHeight="1" x14ac:dyDescent="0.2">
      <c r="A504" s="16" t="s">
        <v>59</v>
      </c>
      <c r="B504" s="2">
        <v>45892</v>
      </c>
      <c r="C504" s="2">
        <v>6743</v>
      </c>
      <c r="D504" s="2">
        <v>345903</v>
      </c>
      <c r="E504" s="2">
        <v>225450</v>
      </c>
      <c r="F504" s="2">
        <v>1159206</v>
      </c>
      <c r="G504" s="2">
        <v>373800</v>
      </c>
      <c r="H504" s="2">
        <v>1304913</v>
      </c>
      <c r="I504" s="2">
        <v>24380</v>
      </c>
      <c r="J504" s="2">
        <v>18541</v>
      </c>
      <c r="K504" s="2">
        <v>159070</v>
      </c>
      <c r="L504" s="2">
        <v>3657155</v>
      </c>
      <c r="M504" s="2">
        <v>34660</v>
      </c>
    </row>
    <row r="505" spans="1:27" ht="12" customHeight="1" x14ac:dyDescent="0.2">
      <c r="A505" s="16" t="s">
        <v>60</v>
      </c>
      <c r="B505" s="2">
        <v>50865</v>
      </c>
      <c r="C505" s="2">
        <v>7378</v>
      </c>
      <c r="D505" s="2">
        <v>359500</v>
      </c>
      <c r="E505" s="2">
        <v>216483</v>
      </c>
      <c r="F505" s="2">
        <v>1166973</v>
      </c>
      <c r="G505" s="2">
        <v>362378</v>
      </c>
      <c r="H505" s="2">
        <v>1330566</v>
      </c>
      <c r="I505" s="2">
        <v>24231</v>
      </c>
      <c r="J505" s="2">
        <v>14491</v>
      </c>
      <c r="K505" s="2">
        <v>153249</v>
      </c>
      <c r="L505" s="2">
        <v>3678736</v>
      </c>
      <c r="M505" s="2">
        <v>34230</v>
      </c>
    </row>
    <row r="506" spans="1:27" ht="12.75" x14ac:dyDescent="0.2">
      <c r="A506" s="30">
        <v>2023</v>
      </c>
    </row>
    <row r="507" spans="1:27" ht="12" customHeight="1" x14ac:dyDescent="0.2">
      <c r="A507" s="16" t="s">
        <v>62</v>
      </c>
      <c r="B507" s="2">
        <v>50979</v>
      </c>
      <c r="C507" s="2">
        <v>10612</v>
      </c>
      <c r="D507" s="2">
        <v>352337</v>
      </c>
      <c r="E507" s="2">
        <v>219126</v>
      </c>
      <c r="F507" s="2">
        <v>1203702</v>
      </c>
      <c r="G507" s="2">
        <v>372468</v>
      </c>
      <c r="H507" s="2">
        <v>1325687</v>
      </c>
      <c r="I507" s="2">
        <v>24414</v>
      </c>
      <c r="J507" s="2">
        <v>18682</v>
      </c>
      <c r="K507" s="2">
        <v>173532</v>
      </c>
      <c r="L507" s="2">
        <v>3740927</v>
      </c>
      <c r="M507" s="2">
        <v>34796</v>
      </c>
    </row>
    <row r="508" spans="1:27" ht="12" customHeight="1" x14ac:dyDescent="0.2">
      <c r="A508" s="16" t="s">
        <v>63</v>
      </c>
      <c r="B508" s="2">
        <v>59045</v>
      </c>
      <c r="C508" s="2">
        <v>12184</v>
      </c>
      <c r="D508" s="2">
        <v>371074</v>
      </c>
      <c r="E508" s="2">
        <v>208120</v>
      </c>
      <c r="F508" s="2">
        <v>1214590</v>
      </c>
      <c r="G508" s="2">
        <v>382665</v>
      </c>
      <c r="H508" s="2">
        <v>1345632</v>
      </c>
      <c r="I508" s="2">
        <v>24210</v>
      </c>
      <c r="J508" s="2">
        <v>20455</v>
      </c>
      <c r="K508" s="2">
        <v>188393</v>
      </c>
      <c r="L508" s="2">
        <v>3814184</v>
      </c>
      <c r="M508" s="2">
        <v>34226</v>
      </c>
    </row>
    <row r="509" spans="1:27" ht="12" customHeight="1" x14ac:dyDescent="0.2">
      <c r="A509" s="16" t="s">
        <v>64</v>
      </c>
      <c r="B509" s="2">
        <v>74999</v>
      </c>
      <c r="C509" s="2">
        <v>12360</v>
      </c>
      <c r="D509" s="2">
        <v>374928</v>
      </c>
      <c r="E509" s="2">
        <v>219905</v>
      </c>
      <c r="F509" s="2">
        <v>1242745</v>
      </c>
      <c r="G509" s="2">
        <v>390381</v>
      </c>
      <c r="H509" s="2">
        <v>1362552</v>
      </c>
      <c r="I509" s="2">
        <v>24377</v>
      </c>
      <c r="J509" s="2">
        <v>14651</v>
      </c>
      <c r="K509" s="2">
        <v>184768</v>
      </c>
      <c r="L509" s="2">
        <v>3889306</v>
      </c>
      <c r="M509" s="2">
        <v>35875</v>
      </c>
    </row>
    <row r="510" spans="1:27" ht="12" customHeight="1" x14ac:dyDescent="0.2">
      <c r="A510" s="16" t="s">
        <v>65</v>
      </c>
      <c r="B510" s="2">
        <v>57092</v>
      </c>
      <c r="C510" s="2">
        <v>12324</v>
      </c>
      <c r="D510" s="2">
        <v>373356</v>
      </c>
      <c r="E510" s="2">
        <v>215206</v>
      </c>
      <c r="F510" s="2">
        <v>1229936</v>
      </c>
      <c r="G510" s="2">
        <v>375957</v>
      </c>
      <c r="H510" s="2">
        <v>1369720</v>
      </c>
      <c r="I510" s="2">
        <v>25214</v>
      </c>
      <c r="J510" s="2">
        <v>16301</v>
      </c>
      <c r="K510" s="2">
        <v>178211</v>
      </c>
      <c r="L510" s="2">
        <v>3840993</v>
      </c>
      <c r="M510" s="2">
        <v>34230</v>
      </c>
    </row>
    <row r="511" spans="1:27" ht="12" customHeight="1" x14ac:dyDescent="0.2">
      <c r="A511" s="16" t="s">
        <v>66</v>
      </c>
      <c r="B511" s="2">
        <v>65091</v>
      </c>
      <c r="C511" s="2">
        <v>11174</v>
      </c>
      <c r="D511" s="2">
        <v>384215</v>
      </c>
      <c r="E511" s="2">
        <v>212722</v>
      </c>
      <c r="F511" s="2">
        <v>1248275</v>
      </c>
      <c r="G511" s="2">
        <v>397885</v>
      </c>
      <c r="H511" s="2">
        <v>1351149</v>
      </c>
      <c r="I511" s="2">
        <v>26692</v>
      </c>
      <c r="J511" s="2">
        <v>17116</v>
      </c>
      <c r="K511" s="2">
        <v>182391</v>
      </c>
      <c r="L511" s="2">
        <v>3885536</v>
      </c>
      <c r="M511" s="2">
        <v>36570</v>
      </c>
    </row>
    <row r="512" spans="1:27" ht="12" customHeight="1" x14ac:dyDescent="0.2">
      <c r="A512" s="16" t="s">
        <v>67</v>
      </c>
      <c r="B512" s="2">
        <v>58473</v>
      </c>
      <c r="C512" s="2">
        <v>9707</v>
      </c>
      <c r="D512" s="2">
        <v>399554</v>
      </c>
      <c r="E512" s="2">
        <v>206347</v>
      </c>
      <c r="F512" s="2">
        <v>1239024</v>
      </c>
      <c r="G512" s="2">
        <v>374260</v>
      </c>
      <c r="H512" s="2">
        <v>1370157</v>
      </c>
      <c r="I512" s="2">
        <v>26768</v>
      </c>
      <c r="J512" s="2">
        <v>8091</v>
      </c>
      <c r="K512" s="2">
        <v>184300</v>
      </c>
      <c r="L512" s="2">
        <v>3866974</v>
      </c>
      <c r="M512" s="2">
        <v>37420</v>
      </c>
    </row>
    <row r="513" spans="1:14" ht="12" customHeight="1" x14ac:dyDescent="0.2">
      <c r="A513" s="16" t="s">
        <v>68</v>
      </c>
      <c r="B513" s="2">
        <v>65019</v>
      </c>
      <c r="C513" s="2">
        <v>9211</v>
      </c>
      <c r="D513" s="2">
        <v>387791</v>
      </c>
      <c r="E513" s="2">
        <v>192932</v>
      </c>
      <c r="F513" s="2">
        <v>1245087</v>
      </c>
      <c r="G513" s="2">
        <v>371675</v>
      </c>
      <c r="H513" s="2">
        <v>1380920</v>
      </c>
      <c r="I513" s="2">
        <v>27122</v>
      </c>
      <c r="J513" s="2">
        <v>9337</v>
      </c>
      <c r="K513" s="2">
        <v>182971</v>
      </c>
      <c r="L513" s="2">
        <v>3862854</v>
      </c>
      <c r="M513" s="2">
        <v>37619</v>
      </c>
    </row>
    <row r="514" spans="1:14" ht="12" customHeight="1" x14ac:dyDescent="0.2">
      <c r="A514" s="16" t="s">
        <v>69</v>
      </c>
      <c r="B514" s="2">
        <v>61046</v>
      </c>
      <c r="C514" s="2">
        <v>15318</v>
      </c>
      <c r="D514" s="2">
        <v>387806</v>
      </c>
      <c r="E514" s="2">
        <v>193225</v>
      </c>
      <c r="F514" s="2">
        <v>1277789</v>
      </c>
      <c r="G514" s="2">
        <v>366800</v>
      </c>
      <c r="H514" s="2">
        <v>1369117</v>
      </c>
      <c r="I514" s="2">
        <v>27544</v>
      </c>
      <c r="J514" s="2">
        <v>15854</v>
      </c>
      <c r="K514" s="2">
        <v>183063</v>
      </c>
      <c r="L514" s="2">
        <v>3882244</v>
      </c>
      <c r="M514" s="2">
        <v>37282</v>
      </c>
    </row>
    <row r="515" spans="1:14" ht="12" customHeight="1" x14ac:dyDescent="0.2">
      <c r="A515" s="16" t="s">
        <v>72</v>
      </c>
      <c r="B515" s="2">
        <v>59306</v>
      </c>
      <c r="C515" s="2">
        <v>7766</v>
      </c>
      <c r="D515" s="2">
        <v>385599</v>
      </c>
      <c r="E515" s="2">
        <v>197156</v>
      </c>
      <c r="F515" s="2">
        <v>1243558</v>
      </c>
      <c r="G515" s="2">
        <v>372137</v>
      </c>
      <c r="H515" s="2">
        <v>1381752</v>
      </c>
      <c r="I515" s="2">
        <v>27213</v>
      </c>
      <c r="J515" s="2">
        <v>11247</v>
      </c>
      <c r="K515" s="2">
        <v>179677</v>
      </c>
      <c r="L515" s="2">
        <v>3857645</v>
      </c>
      <c r="M515" s="2">
        <v>34395</v>
      </c>
    </row>
    <row r="516" spans="1:14" ht="12.75" x14ac:dyDescent="0.2">
      <c r="A516" s="31" t="s">
        <v>58</v>
      </c>
      <c r="B516" s="2">
        <v>59451</v>
      </c>
      <c r="C516" s="2">
        <v>7406</v>
      </c>
      <c r="D516" s="2">
        <v>382162</v>
      </c>
      <c r="E516" s="2">
        <v>203159</v>
      </c>
      <c r="F516" s="2">
        <v>1274520</v>
      </c>
      <c r="G516" s="2">
        <v>349044</v>
      </c>
      <c r="H516" s="2">
        <v>1374464</v>
      </c>
      <c r="I516" s="2">
        <v>27492</v>
      </c>
      <c r="J516" s="2">
        <v>14922</v>
      </c>
      <c r="K516" s="2">
        <v>175928</v>
      </c>
      <c r="L516" s="2">
        <v>3861142</v>
      </c>
      <c r="M516" s="2">
        <v>33560</v>
      </c>
      <c r="N516" s="2"/>
    </row>
    <row r="517" spans="1:14" ht="12.75" x14ac:dyDescent="0.2">
      <c r="A517" s="31" t="s">
        <v>59</v>
      </c>
      <c r="B517" s="2">
        <v>58132</v>
      </c>
      <c r="C517" s="2">
        <v>9650</v>
      </c>
      <c r="D517" s="2">
        <v>409840</v>
      </c>
      <c r="E517" s="2">
        <v>203018</v>
      </c>
      <c r="F517" s="2">
        <v>1260988</v>
      </c>
      <c r="G517" s="2">
        <v>327455</v>
      </c>
      <c r="H517" s="2">
        <v>1394307</v>
      </c>
      <c r="I517" s="2">
        <v>27935</v>
      </c>
      <c r="J517" s="2">
        <v>15973</v>
      </c>
      <c r="K517" s="2">
        <v>178918</v>
      </c>
      <c r="L517" s="2">
        <v>3876566</v>
      </c>
      <c r="M517" s="2">
        <v>32592</v>
      </c>
      <c r="N517" s="2"/>
    </row>
    <row r="518" spans="1:14" ht="12.75" x14ac:dyDescent="0.2">
      <c r="A518" s="31" t="s">
        <v>60</v>
      </c>
      <c r="B518" s="2">
        <v>60437</v>
      </c>
      <c r="C518" s="2">
        <v>14127</v>
      </c>
      <c r="D518" s="2">
        <v>417837</v>
      </c>
      <c r="E518" s="2">
        <v>185911</v>
      </c>
      <c r="F518" s="2">
        <v>1304730</v>
      </c>
      <c r="G518" s="2">
        <v>316814</v>
      </c>
      <c r="H518" s="2">
        <v>1415697</v>
      </c>
      <c r="I518" s="2">
        <v>28179</v>
      </c>
      <c r="J518" s="2">
        <v>11814</v>
      </c>
      <c r="K518" s="2">
        <v>172106</v>
      </c>
      <c r="L518" s="2">
        <v>3913525</v>
      </c>
      <c r="M518" s="2">
        <v>35054</v>
      </c>
      <c r="N518" s="2"/>
    </row>
    <row r="519" spans="1:14" ht="12.75" x14ac:dyDescent="0.2">
      <c r="A519" s="30">
        <v>2024</v>
      </c>
    </row>
    <row r="520" spans="1:14" ht="12.75" x14ac:dyDescent="0.2">
      <c r="A520" s="31" t="s">
        <v>62</v>
      </c>
      <c r="B520" s="2">
        <v>70118</v>
      </c>
      <c r="C520" s="2">
        <v>15794</v>
      </c>
      <c r="D520" s="2">
        <v>403038</v>
      </c>
      <c r="E520" s="2">
        <v>191805</v>
      </c>
      <c r="F520" s="2">
        <v>1336702</v>
      </c>
      <c r="G520" s="2">
        <v>327725</v>
      </c>
      <c r="H520" s="2">
        <v>1418315</v>
      </c>
      <c r="I520" s="2">
        <v>28643</v>
      </c>
      <c r="J520" s="2">
        <v>21558</v>
      </c>
      <c r="K520" s="2">
        <v>177732</v>
      </c>
      <c r="L520" s="2">
        <v>3975636</v>
      </c>
      <c r="M520" s="2">
        <v>34163</v>
      </c>
      <c r="N520" s="2"/>
    </row>
    <row r="521" spans="1:14" ht="12.75" x14ac:dyDescent="0.2">
      <c r="A521" s="31" t="s">
        <v>63</v>
      </c>
      <c r="B521" s="2">
        <v>74707</v>
      </c>
      <c r="C521" s="2">
        <v>18278</v>
      </c>
      <c r="D521" s="2">
        <v>420010</v>
      </c>
      <c r="E521" s="2">
        <v>192259</v>
      </c>
      <c r="F521" s="2">
        <v>1365317</v>
      </c>
      <c r="G521" s="2">
        <v>336800</v>
      </c>
      <c r="H521" s="2">
        <v>1436365</v>
      </c>
      <c r="I521" s="2">
        <v>27855</v>
      </c>
      <c r="J521" s="2">
        <v>20726</v>
      </c>
      <c r="K521" s="2">
        <v>178954</v>
      </c>
      <c r="L521" s="2">
        <v>4052993</v>
      </c>
      <c r="M521" s="2">
        <v>33033</v>
      </c>
    </row>
    <row r="522" spans="1:14" ht="12.75" x14ac:dyDescent="0.2">
      <c r="A522" s="31" t="s">
        <v>64</v>
      </c>
      <c r="B522" s="2">
        <v>71922</v>
      </c>
      <c r="C522" s="2">
        <v>19106</v>
      </c>
      <c r="D522" s="2">
        <v>409075</v>
      </c>
      <c r="E522" s="2">
        <v>211493</v>
      </c>
      <c r="F522" s="2">
        <v>1427613</v>
      </c>
      <c r="G522" s="2">
        <v>349017</v>
      </c>
      <c r="H522" s="2">
        <v>1450016</v>
      </c>
      <c r="I522" s="2">
        <v>27937</v>
      </c>
      <c r="J522" s="2">
        <v>13061</v>
      </c>
      <c r="K522" s="2">
        <v>185653</v>
      </c>
      <c r="L522" s="2">
        <v>4145787</v>
      </c>
      <c r="M522" s="2">
        <v>34563</v>
      </c>
    </row>
    <row r="523" spans="1:14" ht="12.75" x14ac:dyDescent="0.2">
      <c r="A523" s="31" t="s">
        <v>65</v>
      </c>
      <c r="B523" s="2">
        <v>92756</v>
      </c>
      <c r="C523" s="2">
        <v>19853</v>
      </c>
      <c r="D523" s="2">
        <v>420510</v>
      </c>
      <c r="E523" s="2">
        <v>209884</v>
      </c>
      <c r="F523" s="2">
        <v>1439801</v>
      </c>
      <c r="G523" s="2">
        <v>336859</v>
      </c>
      <c r="H523" s="2">
        <v>1451936</v>
      </c>
      <c r="I523" s="2">
        <v>27006</v>
      </c>
      <c r="J523" s="2">
        <v>12314</v>
      </c>
      <c r="K523" s="2">
        <v>169361</v>
      </c>
      <c r="L523" s="2">
        <v>4160427</v>
      </c>
      <c r="M523" s="2">
        <v>31947</v>
      </c>
    </row>
    <row r="524" spans="1:14" ht="12.75" x14ac:dyDescent="0.2">
      <c r="A524" s="31" t="s">
        <v>66</v>
      </c>
      <c r="B524" s="2">
        <v>114804</v>
      </c>
      <c r="C524" s="2">
        <v>20661</v>
      </c>
      <c r="D524" s="2">
        <v>413501</v>
      </c>
      <c r="E524" s="2">
        <v>206525</v>
      </c>
      <c r="F524" s="2">
        <v>1448816</v>
      </c>
      <c r="G524" s="2">
        <v>340506</v>
      </c>
      <c r="H524" s="2">
        <v>1471172</v>
      </c>
      <c r="I524" s="2">
        <v>26770</v>
      </c>
      <c r="J524" s="2">
        <v>15549</v>
      </c>
      <c r="K524" s="2">
        <v>167784</v>
      </c>
      <c r="L524" s="2">
        <v>4205427</v>
      </c>
      <c r="M524" s="2">
        <v>31391</v>
      </c>
    </row>
    <row r="525" spans="1:14" ht="12.75" x14ac:dyDescent="0.2">
      <c r="A525" s="31" t="s">
        <v>67</v>
      </c>
      <c r="B525" s="2">
        <v>120431</v>
      </c>
      <c r="C525" s="2">
        <v>21570</v>
      </c>
      <c r="D525" s="2">
        <v>415167</v>
      </c>
      <c r="E525" s="2">
        <v>204060</v>
      </c>
      <c r="F525" s="2">
        <v>1416655</v>
      </c>
      <c r="G525" s="2">
        <v>339171</v>
      </c>
      <c r="H525" s="2">
        <v>1481878</v>
      </c>
      <c r="I525" s="2">
        <v>27896</v>
      </c>
      <c r="J525" s="2">
        <v>15518</v>
      </c>
      <c r="K525" s="2">
        <v>172850</v>
      </c>
      <c r="L525" s="2">
        <v>4193626</v>
      </c>
      <c r="M525" s="2">
        <v>32962</v>
      </c>
    </row>
    <row r="526" spans="1:14" ht="12.75" x14ac:dyDescent="0.2">
      <c r="A526" s="31" t="s">
        <v>68</v>
      </c>
      <c r="B526" s="2">
        <v>126244</v>
      </c>
      <c r="C526" s="2">
        <v>22484</v>
      </c>
      <c r="D526" s="2">
        <v>414549</v>
      </c>
      <c r="E526" s="2">
        <v>202219</v>
      </c>
      <c r="F526" s="2">
        <v>1462611</v>
      </c>
      <c r="G526" s="2">
        <v>335385</v>
      </c>
      <c r="H526" s="2">
        <v>1478957</v>
      </c>
      <c r="I526" s="2">
        <v>28398</v>
      </c>
      <c r="J526" s="2">
        <v>13216</v>
      </c>
      <c r="K526" s="2">
        <v>175061</v>
      </c>
      <c r="L526" s="2">
        <v>4236640</v>
      </c>
      <c r="M526" s="2">
        <v>32155</v>
      </c>
    </row>
    <row r="527" spans="1:14" ht="12.75" x14ac:dyDescent="0.2">
      <c r="A527" s="31" t="s">
        <v>69</v>
      </c>
      <c r="B527" s="2">
        <v>132353</v>
      </c>
      <c r="C527" s="2">
        <v>33292</v>
      </c>
      <c r="D527" s="2">
        <v>416157</v>
      </c>
      <c r="E527" s="2">
        <v>214395</v>
      </c>
      <c r="F527" s="2">
        <v>1451001</v>
      </c>
      <c r="G527" s="2">
        <v>352481</v>
      </c>
      <c r="H527" s="2">
        <v>1484263</v>
      </c>
      <c r="I527" s="2">
        <v>29284</v>
      </c>
      <c r="J527" s="2">
        <v>10578</v>
      </c>
      <c r="K527" s="2">
        <v>177597</v>
      </c>
      <c r="L527" s="2">
        <v>4268109</v>
      </c>
      <c r="M527" s="2">
        <v>32318</v>
      </c>
    </row>
    <row r="528" spans="1:14" ht="12.75" x14ac:dyDescent="0.2">
      <c r="A528" s="16" t="s">
        <v>72</v>
      </c>
      <c r="B528" s="2">
        <v>128947</v>
      </c>
      <c r="C528" s="2">
        <v>33145</v>
      </c>
      <c r="D528" s="2">
        <v>399128</v>
      </c>
      <c r="E528" s="2">
        <v>223001</v>
      </c>
      <c r="F528" s="2">
        <v>1452245</v>
      </c>
      <c r="G528" s="2">
        <v>349341</v>
      </c>
      <c r="H528" s="2">
        <v>1470145</v>
      </c>
      <c r="I528" s="2">
        <v>28758</v>
      </c>
      <c r="J528" s="2">
        <v>11034</v>
      </c>
      <c r="K528" s="2">
        <v>175499</v>
      </c>
      <c r="L528" s="2">
        <v>4238098</v>
      </c>
      <c r="M528" s="2">
        <v>34209</v>
      </c>
    </row>
    <row r="529" spans="1:13" ht="12.75" x14ac:dyDescent="0.2">
      <c r="A529" s="31" t="s">
        <v>58</v>
      </c>
      <c r="B529" s="2">
        <v>133607</v>
      </c>
      <c r="C529" s="2">
        <v>34325</v>
      </c>
      <c r="D529" s="2">
        <v>407580</v>
      </c>
      <c r="E529" s="2">
        <v>232064</v>
      </c>
      <c r="F529" s="2">
        <v>1467272</v>
      </c>
      <c r="G529" s="2">
        <v>353121</v>
      </c>
      <c r="H529" s="2">
        <v>1488598</v>
      </c>
      <c r="I529" s="2">
        <v>28607</v>
      </c>
      <c r="J529" s="2">
        <v>14744</v>
      </c>
      <c r="K529" s="2">
        <v>180471</v>
      </c>
      <c r="L529" s="2">
        <v>4306064</v>
      </c>
      <c r="M529" s="2">
        <v>33658</v>
      </c>
    </row>
    <row r="530" spans="1:13" ht="12.75" x14ac:dyDescent="0.2">
      <c r="A530" s="31" t="s">
        <v>59</v>
      </c>
      <c r="B530" s="2">
        <v>137996</v>
      </c>
      <c r="C530" s="2">
        <v>35659</v>
      </c>
      <c r="D530" s="2">
        <v>419207</v>
      </c>
      <c r="E530" s="2">
        <v>226236</v>
      </c>
      <c r="F530" s="2">
        <v>1431719</v>
      </c>
      <c r="G530" s="2">
        <v>351117</v>
      </c>
      <c r="H530" s="2">
        <v>1508136</v>
      </c>
      <c r="I530" s="2">
        <v>28796</v>
      </c>
      <c r="J530" s="2">
        <v>13693</v>
      </c>
      <c r="K530" s="2">
        <v>180099</v>
      </c>
      <c r="L530" s="2">
        <v>4296999</v>
      </c>
      <c r="M530" s="2">
        <v>32819</v>
      </c>
    </row>
    <row r="531" spans="1:13" ht="12.75" x14ac:dyDescent="0.2">
      <c r="A531" s="31" t="s">
        <v>60</v>
      </c>
      <c r="B531" s="2">
        <v>109465</v>
      </c>
      <c r="C531" s="2">
        <v>24430</v>
      </c>
      <c r="D531" s="2">
        <v>414657</v>
      </c>
      <c r="E531" s="2">
        <v>218635</v>
      </c>
      <c r="F531" s="2">
        <v>1514434</v>
      </c>
      <c r="G531" s="2">
        <v>341837</v>
      </c>
      <c r="H531" s="2">
        <v>1507633</v>
      </c>
      <c r="I531" s="2">
        <v>28714</v>
      </c>
      <c r="J531" s="2">
        <v>10312</v>
      </c>
      <c r="K531" s="2">
        <v>177948</v>
      </c>
      <c r="L531" s="2">
        <v>4323635</v>
      </c>
      <c r="M531" s="2">
        <v>32229</v>
      </c>
    </row>
    <row r="532" spans="1:13" ht="12.75" x14ac:dyDescent="0.2">
      <c r="A532" s="30">
        <v>2025</v>
      </c>
    </row>
    <row r="533" spans="1:13" ht="12.75" x14ac:dyDescent="0.2">
      <c r="A533" s="31" t="s">
        <v>62</v>
      </c>
      <c r="B533" s="2">
        <v>110473</v>
      </c>
      <c r="C533" s="2">
        <v>29921</v>
      </c>
      <c r="D533" s="2">
        <v>422191</v>
      </c>
      <c r="E533" s="2">
        <v>220404</v>
      </c>
      <c r="F533" s="2">
        <v>1543984</v>
      </c>
      <c r="G533" s="2">
        <v>351184</v>
      </c>
      <c r="H533" s="2">
        <v>1527161</v>
      </c>
      <c r="I533" s="2">
        <v>28835</v>
      </c>
      <c r="J533" s="2">
        <v>11758</v>
      </c>
      <c r="K533" s="2">
        <v>181627</v>
      </c>
      <c r="L533" s="2">
        <v>4397617</v>
      </c>
      <c r="M533" s="2">
        <v>30681</v>
      </c>
    </row>
    <row r="534" spans="1:13" ht="12.75" x14ac:dyDescent="0.2">
      <c r="A534" s="31" t="s">
        <v>63</v>
      </c>
      <c r="B534" s="2">
        <v>133810</v>
      </c>
      <c r="C534" s="2">
        <v>34653</v>
      </c>
      <c r="D534" s="2">
        <v>446569</v>
      </c>
      <c r="E534" s="2">
        <v>217220</v>
      </c>
      <c r="F534" s="2">
        <v>1566769</v>
      </c>
      <c r="G534" s="2">
        <v>347209</v>
      </c>
      <c r="H534" s="2">
        <v>1549693</v>
      </c>
      <c r="I534" s="2">
        <v>30806</v>
      </c>
      <c r="J534" s="2">
        <v>12996</v>
      </c>
      <c r="K534" s="2">
        <v>174811</v>
      </c>
      <c r="L534" s="2">
        <v>4479883</v>
      </c>
      <c r="M534" s="2">
        <v>29950</v>
      </c>
    </row>
  </sheetData>
  <mergeCells count="1">
    <mergeCell ref="A1:M1"/>
  </mergeCells>
  <phoneticPr fontId="0" type="noConversion"/>
  <printOptions horizontalCentered="1"/>
  <pageMargins left="0" right="0" top="0.5" bottom="0.5" header="0.5" footer="0.25"/>
  <pageSetup scale="84" orientation="landscape" r:id="rId1"/>
  <headerFooter alignWithMargins="0">
    <oddHeader xml:space="preserve">&amp;L&amp;"Century Schoolbook,Bold Italic"&amp;11 &amp;C
&amp;"Century Schoolbook,Bold"&amp;11
</oddHeader>
    <oddFooter>&amp;L&amp;"Arial,Bold"&amp;12 &amp;C&amp;"Arial,Regular"&amp;P</oddFooter>
  </headerFooter>
  <rowBreaks count="3" manualBreakCount="3">
    <brk id="37" max="16383" man="1"/>
    <brk id="76" max="13" man="1"/>
    <brk id="115" max="16383" man="1"/>
  </rowBreaks>
  <ignoredErrors>
    <ignoredError sqref="A7:A394 A467 A48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showGridLines="0" workbookViewId="0">
      <selection activeCell="F10" sqref="F10"/>
    </sheetView>
  </sheetViews>
  <sheetFormatPr defaultRowHeight="15" x14ac:dyDescent="0.2"/>
  <cols>
    <col min="1" max="16384" width="9" style="24"/>
  </cols>
  <sheetData>
    <row r="1" spans="1:9" ht="15.75" x14ac:dyDescent="0.25">
      <c r="A1" s="33" t="s">
        <v>71</v>
      </c>
      <c r="B1" s="33"/>
      <c r="C1" s="33"/>
      <c r="D1" s="33"/>
      <c r="E1" s="33"/>
      <c r="F1" s="33"/>
      <c r="G1" s="33"/>
      <c r="H1" s="33"/>
      <c r="I1" s="33"/>
    </row>
    <row r="2" spans="1:9" x14ac:dyDescent="0.2">
      <c r="A2" s="25"/>
      <c r="B2" s="26"/>
      <c r="C2" s="26"/>
      <c r="D2" s="26"/>
      <c r="E2" s="26"/>
      <c r="F2" s="26"/>
      <c r="G2" s="26"/>
      <c r="H2" s="26"/>
      <c r="I2" s="26"/>
    </row>
    <row r="3" spans="1:9" ht="42" customHeight="1" x14ac:dyDescent="0.2">
      <c r="A3" s="34" t="s">
        <v>76</v>
      </c>
      <c r="B3" s="34"/>
      <c r="C3" s="34"/>
      <c r="D3" s="34"/>
      <c r="E3" s="34"/>
      <c r="F3" s="34"/>
      <c r="G3" s="34"/>
      <c r="H3" s="34"/>
      <c r="I3" s="34"/>
    </row>
    <row r="4" spans="1:9" x14ac:dyDescent="0.2">
      <c r="A4" s="27"/>
      <c r="B4" s="27"/>
      <c r="C4" s="27"/>
      <c r="D4" s="27"/>
      <c r="E4" s="27"/>
      <c r="F4" s="27"/>
      <c r="G4" s="27"/>
      <c r="H4" s="27"/>
      <c r="I4" s="27"/>
    </row>
    <row r="5" spans="1:9" ht="41.25" customHeight="1" x14ac:dyDescent="0.2">
      <c r="A5" s="34" t="s">
        <v>55</v>
      </c>
      <c r="B5" s="34"/>
      <c r="C5" s="34"/>
      <c r="D5" s="34"/>
      <c r="E5" s="34"/>
      <c r="F5" s="34"/>
      <c r="G5" s="34"/>
      <c r="H5" s="34"/>
      <c r="I5" s="34"/>
    </row>
    <row r="6" spans="1:9" x14ac:dyDescent="0.2">
      <c r="A6" s="26"/>
      <c r="B6" s="26"/>
      <c r="C6" s="26"/>
      <c r="D6" s="26"/>
      <c r="E6" s="26"/>
      <c r="F6" s="26"/>
      <c r="G6" s="26"/>
      <c r="H6" s="26"/>
      <c r="I6" s="26"/>
    </row>
    <row r="7" spans="1:9" x14ac:dyDescent="0.2">
      <c r="A7" s="26"/>
      <c r="B7" s="26"/>
      <c r="C7" s="26"/>
      <c r="D7" s="26"/>
      <c r="E7" s="26"/>
      <c r="F7" s="26"/>
      <c r="G7" s="26"/>
      <c r="H7" s="26"/>
      <c r="I7" s="26"/>
    </row>
    <row r="8" spans="1:9" x14ac:dyDescent="0.2">
      <c r="A8" s="26"/>
      <c r="B8" s="26"/>
      <c r="C8" s="26"/>
      <c r="D8" s="26"/>
      <c r="E8" s="26"/>
      <c r="F8" s="26"/>
      <c r="G8" s="26"/>
      <c r="H8" s="26"/>
      <c r="I8" s="26"/>
    </row>
    <row r="9" spans="1:9" x14ac:dyDescent="0.2">
      <c r="A9" s="26"/>
      <c r="B9" s="26"/>
      <c r="C9" s="26"/>
      <c r="D9" s="26"/>
      <c r="E9" s="26"/>
      <c r="F9" s="26"/>
      <c r="G9" s="26"/>
      <c r="H9" s="26"/>
      <c r="I9" s="26"/>
    </row>
    <row r="10" spans="1:9" x14ac:dyDescent="0.2">
      <c r="A10" s="26"/>
      <c r="B10" s="26"/>
      <c r="C10" s="26"/>
      <c r="D10" s="26"/>
      <c r="E10" s="26"/>
      <c r="F10" s="26"/>
      <c r="G10" s="26"/>
      <c r="H10" s="26"/>
      <c r="I10" s="26"/>
    </row>
    <row r="11" spans="1:9" x14ac:dyDescent="0.2">
      <c r="A11" s="26"/>
      <c r="B11" s="26"/>
      <c r="C11" s="26"/>
      <c r="D11" s="26"/>
      <c r="E11" s="26"/>
      <c r="F11" s="26"/>
      <c r="G11" s="26"/>
      <c r="H11" s="26"/>
      <c r="I11" s="26"/>
    </row>
    <row r="12" spans="1:9" x14ac:dyDescent="0.2">
      <c r="A12" s="26"/>
      <c r="B12" s="26"/>
      <c r="C12" s="26"/>
      <c r="D12" s="26"/>
      <c r="E12" s="26"/>
      <c r="F12" s="26"/>
      <c r="G12" s="26"/>
      <c r="H12" s="26"/>
      <c r="I12" s="26"/>
    </row>
    <row r="13" spans="1:9" x14ac:dyDescent="0.2">
      <c r="A13" s="26"/>
      <c r="B13" s="26"/>
      <c r="C13" s="26"/>
      <c r="D13" s="26"/>
      <c r="E13" s="26"/>
      <c r="F13" s="26"/>
      <c r="G13" s="26"/>
      <c r="H13" s="26"/>
      <c r="I13" s="26"/>
    </row>
    <row r="14" spans="1:9" x14ac:dyDescent="0.2">
      <c r="A14" s="26"/>
      <c r="B14" s="26"/>
      <c r="C14" s="26"/>
      <c r="D14" s="26"/>
      <c r="E14" s="26"/>
      <c r="F14" s="26"/>
      <c r="G14" s="26"/>
      <c r="H14" s="26"/>
      <c r="I14" s="26"/>
    </row>
    <row r="15" spans="1:9" x14ac:dyDescent="0.2">
      <c r="A15" s="26"/>
      <c r="B15" s="26"/>
      <c r="C15" s="26"/>
      <c r="D15" s="26"/>
      <c r="E15" s="26"/>
      <c r="F15" s="26"/>
      <c r="G15" s="26"/>
      <c r="H15" s="26"/>
      <c r="I15" s="26"/>
    </row>
    <row r="16" spans="1:9" x14ac:dyDescent="0.2">
      <c r="A16" s="26"/>
      <c r="B16" s="26"/>
      <c r="C16" s="26"/>
      <c r="D16" s="26"/>
      <c r="E16" s="26"/>
      <c r="F16" s="26"/>
      <c r="G16" s="26"/>
      <c r="H16" s="26"/>
      <c r="I16" s="26"/>
    </row>
    <row r="17" spans="1:9" x14ac:dyDescent="0.2">
      <c r="A17" s="26"/>
      <c r="B17" s="26"/>
      <c r="C17" s="26"/>
      <c r="D17" s="26"/>
      <c r="E17" s="26"/>
      <c r="F17" s="26"/>
      <c r="G17" s="26"/>
      <c r="H17" s="26"/>
      <c r="I17" s="26"/>
    </row>
  </sheetData>
  <mergeCells count="3">
    <mergeCell ref="A1:I1"/>
    <mergeCell ref="A3:I3"/>
    <mergeCell ref="A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1977-2025</vt:lpstr>
      <vt:lpstr>Notes</vt:lpstr>
      <vt:lpstr>'1977-2025'!Print_Area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2018-01-30T18:09:42Z</cp:lastPrinted>
  <dcterms:created xsi:type="dcterms:W3CDTF">2001-10-02T19:49:46Z</dcterms:created>
  <dcterms:modified xsi:type="dcterms:W3CDTF">2025-04-14T20:24:32Z</dcterms:modified>
</cp:coreProperties>
</file>